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3640" windowHeight="9780"/>
  </bookViews>
  <sheets>
    <sheet name="УРГУПС" sheetId="1" r:id="rId1"/>
  </sheets>
  <calcPr calcId="145621"/>
</workbook>
</file>

<file path=xl/calcChain.xml><?xml version="1.0" encoding="utf-8"?>
<calcChain xmlns="http://schemas.openxmlformats.org/spreadsheetml/2006/main">
  <c r="E89" i="1" l="1"/>
  <c r="H89" i="1"/>
  <c r="D89" i="1"/>
  <c r="H107" i="1"/>
  <c r="D108" i="1"/>
  <c r="D107" i="1" s="1"/>
  <c r="E101" i="1"/>
  <c r="H101" i="1"/>
  <c r="D101" i="1"/>
  <c r="D102" i="1"/>
  <c r="D103" i="1"/>
  <c r="D104" i="1"/>
  <c r="D105" i="1"/>
  <c r="D106" i="1"/>
  <c r="H90" i="1"/>
  <c r="E90" i="1"/>
  <c r="D93" i="1"/>
  <c r="D94" i="1"/>
  <c r="D95" i="1"/>
  <c r="D96" i="1"/>
  <c r="D97" i="1"/>
  <c r="D98" i="1"/>
  <c r="D99" i="1"/>
  <c r="D100" i="1"/>
  <c r="D92" i="1"/>
  <c r="D91" i="1"/>
  <c r="D33" i="1"/>
  <c r="D90" i="1" l="1"/>
  <c r="J55" i="1"/>
  <c r="J54" i="1"/>
  <c r="J53" i="1"/>
  <c r="J52" i="1"/>
  <c r="J51" i="1"/>
  <c r="J50" i="1"/>
  <c r="J49" i="1"/>
  <c r="J48" i="1"/>
  <c r="J47" i="1"/>
  <c r="J46" i="1"/>
  <c r="H75" i="1" l="1"/>
  <c r="D78" i="1"/>
  <c r="D79" i="1"/>
  <c r="D80" i="1"/>
  <c r="D81" i="1"/>
  <c r="D82" i="1"/>
  <c r="D77" i="1"/>
  <c r="D83" i="1"/>
  <c r="E44" i="1" l="1"/>
  <c r="H44" i="1"/>
  <c r="D46" i="1"/>
  <c r="D47" i="1"/>
  <c r="D48" i="1"/>
  <c r="D49" i="1"/>
  <c r="D50" i="1"/>
  <c r="D51" i="1"/>
  <c r="D52" i="1"/>
  <c r="D53" i="1"/>
  <c r="D54" i="1"/>
  <c r="D55" i="1"/>
  <c r="E30" i="1"/>
  <c r="H30" i="1"/>
  <c r="D32" i="1"/>
  <c r="D34" i="1"/>
  <c r="D35" i="1"/>
  <c r="D36" i="1"/>
  <c r="D37" i="1"/>
  <c r="D38" i="1"/>
  <c r="D39" i="1"/>
  <c r="D40" i="1"/>
  <c r="D41" i="1"/>
  <c r="D42" i="1"/>
  <c r="D43" i="1"/>
  <c r="H86" i="1"/>
  <c r="I88" i="1"/>
  <c r="J88" i="1"/>
  <c r="I87" i="1"/>
  <c r="J87" i="1"/>
  <c r="E69" i="1"/>
  <c r="H69" i="1"/>
  <c r="E56" i="1"/>
  <c r="H56" i="1"/>
  <c r="I74" i="1"/>
  <c r="J74" i="1"/>
  <c r="I73" i="1"/>
  <c r="J73" i="1"/>
  <c r="I72" i="1"/>
  <c r="J72" i="1"/>
  <c r="I71" i="1"/>
  <c r="J71" i="1"/>
  <c r="J68" i="1"/>
  <c r="I67" i="1"/>
  <c r="I66" i="1"/>
  <c r="J66" i="1"/>
  <c r="I65" i="1"/>
  <c r="J65" i="1"/>
  <c r="I64" i="1"/>
  <c r="J64" i="1"/>
  <c r="I63" i="1"/>
  <c r="J63" i="1"/>
  <c r="I62" i="1"/>
  <c r="J62" i="1"/>
  <c r="I61" i="1"/>
  <c r="J61" i="1"/>
  <c r="I60" i="1"/>
  <c r="J60" i="1"/>
  <c r="I59" i="1"/>
  <c r="D60" i="1"/>
  <c r="D61" i="1"/>
  <c r="D62" i="1"/>
  <c r="D58" i="1"/>
  <c r="D59" i="1"/>
  <c r="J59" i="1"/>
  <c r="I58" i="1"/>
  <c r="J58" i="1"/>
  <c r="H24" i="1"/>
  <c r="E24" i="1"/>
  <c r="E7" i="1"/>
  <c r="H7" i="1"/>
  <c r="I29" i="1"/>
  <c r="J29" i="1"/>
  <c r="I28" i="1"/>
  <c r="J28" i="1"/>
  <c r="I27" i="1"/>
  <c r="J27" i="1"/>
  <c r="I26" i="1"/>
  <c r="J26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I16" i="1"/>
  <c r="I15" i="1"/>
  <c r="J15" i="1"/>
  <c r="I14" i="1"/>
  <c r="J14" i="1"/>
  <c r="I13" i="1"/>
  <c r="J13" i="1"/>
  <c r="I12" i="1"/>
  <c r="J12" i="1"/>
  <c r="I11" i="1"/>
  <c r="J11" i="1"/>
  <c r="I10" i="1"/>
  <c r="J1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63" i="1"/>
  <c r="D64" i="1"/>
  <c r="D65" i="1"/>
  <c r="D66" i="1"/>
  <c r="D67" i="1"/>
  <c r="D68" i="1"/>
  <c r="D71" i="1"/>
  <c r="D72" i="1"/>
  <c r="D73" i="1"/>
  <c r="D74" i="1"/>
  <c r="D84" i="1"/>
  <c r="D75" i="1" s="1"/>
  <c r="D87" i="1"/>
  <c r="D88" i="1"/>
  <c r="D9" i="1"/>
  <c r="I9" i="1"/>
  <c r="J9" i="1"/>
  <c r="D44" i="1" l="1"/>
  <c r="D30" i="1"/>
  <c r="D86" i="1"/>
  <c r="D69" i="1"/>
  <c r="D56" i="1"/>
  <c r="D24" i="1"/>
  <c r="D7" i="1"/>
</calcChain>
</file>

<file path=xl/sharedStrings.xml><?xml version="1.0" encoding="utf-8"?>
<sst xmlns="http://schemas.openxmlformats.org/spreadsheetml/2006/main" count="569" uniqueCount="116">
  <si>
    <t>Код</t>
  </si>
  <si>
    <t>Наименование специальности/направления подготовки</t>
  </si>
  <si>
    <t>Форма обучения</t>
  </si>
  <si>
    <t>Численность обучающихся, чел.</t>
  </si>
  <si>
    <t>Средняя сумма набранных баллов по всем вступительным испытаниям</t>
  </si>
  <si>
    <t>за счёт бюджетных ассигнований федерального бюджета</t>
  </si>
  <si>
    <t>за счет бюджетов субъектов РФ</t>
  </si>
  <si>
    <t>за счет местных бюджетов</t>
  </si>
  <si>
    <t>Очная</t>
  </si>
  <si>
    <t>Заочная</t>
  </si>
  <si>
    <t>Очно-заочная</t>
  </si>
  <si>
    <t>Программы бакалавриата - всего</t>
  </si>
  <si>
    <t>-</t>
  </si>
  <si>
    <t xml:space="preserve">  в том числе по направлениям:</t>
  </si>
  <si>
    <t>38.03.01</t>
  </si>
  <si>
    <t>38.03.02</t>
  </si>
  <si>
    <t>38.03.03</t>
  </si>
  <si>
    <t>38.03.06</t>
  </si>
  <si>
    <t>39.03.01</t>
  </si>
  <si>
    <t>43.03.01</t>
  </si>
  <si>
    <t>43.03.02</t>
  </si>
  <si>
    <t>Программы специалитета - всего</t>
  </si>
  <si>
    <t xml:space="preserve">  в том числе по специальностям:</t>
  </si>
  <si>
    <t>Программы магистратуры - всего</t>
  </si>
  <si>
    <t>38.04.01</t>
  </si>
  <si>
    <t>38.04.02</t>
  </si>
  <si>
    <t>38.04.03</t>
  </si>
  <si>
    <t>08.03.01</t>
  </si>
  <si>
    <t>09.03.02</t>
  </si>
  <si>
    <t>10.03.01</t>
  </si>
  <si>
    <t>13.03.02</t>
  </si>
  <si>
    <t>20.03.01</t>
  </si>
  <si>
    <t>23.03.01</t>
  </si>
  <si>
    <t>23.03.03</t>
  </si>
  <si>
    <t>23.05.03</t>
  </si>
  <si>
    <t>23.05.04</t>
  </si>
  <si>
    <t>23.05.05</t>
  </si>
  <si>
    <t>23.05.06</t>
  </si>
  <si>
    <t>08.04.01</t>
  </si>
  <si>
    <t>09.04.02</t>
  </si>
  <si>
    <t>10.04.01</t>
  </si>
  <si>
    <t>15.04.06</t>
  </si>
  <si>
    <t>20.04.01</t>
  </si>
  <si>
    <t>23.04.01</t>
  </si>
  <si>
    <t>23.04.02</t>
  </si>
  <si>
    <t>23.04.03</t>
  </si>
  <si>
    <t>Строительство</t>
  </si>
  <si>
    <t>Информационные системы и технологии</t>
  </si>
  <si>
    <t>Информационная безопасность</t>
  </si>
  <si>
    <t>Электроэнергетика и электротехника</t>
  </si>
  <si>
    <t>Техносферная безопасность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</si>
  <si>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</si>
  <si>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</si>
  <si>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</si>
  <si>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Экономика</t>
  </si>
  <si>
    <t>Менеджмент</t>
  </si>
  <si>
    <t>Управление персоналом</t>
  </si>
  <si>
    <t>Торговое дело</t>
  </si>
  <si>
    <t>Социология</t>
  </si>
  <si>
    <t>Сервис</t>
  </si>
  <si>
    <t>Туризм</t>
  </si>
  <si>
    <t>Подвижной состав железных дорог</t>
  </si>
  <si>
    <t>Эксплуатация железных дорог</t>
  </si>
  <si>
    <t>Системы обеспечения движения поездов</t>
  </si>
  <si>
    <t>Строительство железных дорог, мостов и транспортных тоннелей</t>
  </si>
  <si>
    <t>Мехатроника и робототехника</t>
  </si>
  <si>
    <t>Принято</t>
  </si>
  <si>
    <t>13.04.02</t>
  </si>
  <si>
    <t>за счёт средств физических 
и (или) юридических лиц</t>
  </si>
  <si>
    <t>в форме ЕГЭ</t>
  </si>
  <si>
    <t>в форме вступительных экзаменов, проводимых ВУЗом самостоятельно</t>
  </si>
  <si>
    <t>15.03.06</t>
  </si>
  <si>
    <t>Программы аспирантуры - всего</t>
  </si>
  <si>
    <t>в том числе по направлениям:</t>
  </si>
  <si>
    <t>03.06.01</t>
  </si>
  <si>
    <t>Физика и астрономия</t>
  </si>
  <si>
    <t>08.06.01</t>
  </si>
  <si>
    <t>Техника и технологии строительства</t>
  </si>
  <si>
    <t>09.06.01</t>
  </si>
  <si>
    <t>Информатика и вычислительная техника</t>
  </si>
  <si>
    <t>10.06.01</t>
  </si>
  <si>
    <t>11.06.01</t>
  </si>
  <si>
    <t>Электроника, радиотехника и системы связи</t>
  </si>
  <si>
    <t>13.06.01</t>
  </si>
  <si>
    <t>Электро- и теплотехника</t>
  </si>
  <si>
    <t>23.06.01</t>
  </si>
  <si>
    <t>Техника и технологии наземного транспорта</t>
  </si>
  <si>
    <t>27.06.01</t>
  </si>
  <si>
    <t xml:space="preserve">Управление в технических системах </t>
  </si>
  <si>
    <t>38.06.01</t>
  </si>
  <si>
    <t>44.06.01</t>
  </si>
  <si>
    <t>Образование и педагогические науки</t>
  </si>
  <si>
    <t>Сведения о результатах приема в 2016 году в</t>
  </si>
  <si>
    <t>ФГБОУ ВО "Уральский государственный университет путей сообщения"</t>
  </si>
  <si>
    <t>Программы СПО - всего</t>
  </si>
  <si>
    <t>Автоматика и телемеханика на транспорте (железнодорожном транспорте)</t>
  </si>
  <si>
    <t>27.02.03</t>
  </si>
  <si>
    <t>Компьютерные системы и комплексы</t>
  </si>
  <si>
    <t>09.02.01</t>
  </si>
  <si>
    <t>31.02.01</t>
  </si>
  <si>
    <t>Лечебное дело</t>
  </si>
  <si>
    <t>23.02.01</t>
  </si>
  <si>
    <t>Организация перевозок и управление на транспорте (по видам)</t>
  </si>
  <si>
    <t>34.02.01</t>
  </si>
  <si>
    <t>Сестринское дело</t>
  </si>
  <si>
    <t>08.02.10</t>
  </si>
  <si>
    <t>Строительство железных дорог, путь и путевое хозяйство</t>
  </si>
  <si>
    <t>23.02.06</t>
  </si>
  <si>
    <t>Техническая эксплуатация подвижного состава железных дорог</t>
  </si>
  <si>
    <t>11.02.06</t>
  </si>
  <si>
    <t>Техническая эксплуатация транспортного радиоэлектронного оборудования (по видам транспорта)</t>
  </si>
  <si>
    <t>38.02.01</t>
  </si>
  <si>
    <t>Экономика и бухгалтерский учет (по отраслям)</t>
  </si>
  <si>
    <t>13.02.07</t>
  </si>
  <si>
    <t>Электроснабжение (по отраслям)</t>
  </si>
  <si>
    <t>Очно- 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</si>
</sst>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topLeftCell="A82" workbookViewId="0">
      <selection activeCell="E98" sqref="E98"/>
    </sheetView>
  </sheetViews>
  <sheetFormatPr defaultRowHeight="12.75" x14ac:dyDescent="0.2"/>
  <cols>
    <col min="1" max="1" width="9.125" style="3" customWidth="1"/>
    <col min="2" max="2" width="28.5" style="24" customWidth="1"/>
    <col min="3" max="4" width="9" style="3"/>
    <col min="5" max="5" width="11.25" style="3" customWidth="1"/>
    <col min="6" max="7" width="9" style="3"/>
    <col min="8" max="8" width="10.125" style="3" customWidth="1"/>
    <col min="9" max="9" width="11" style="12" customWidth="1"/>
    <col min="10" max="10" width="11.75" style="12" customWidth="1"/>
    <col min="11" max="11" width="9" style="12"/>
    <col min="12" max="16384" width="9" style="2"/>
  </cols>
  <sheetData>
    <row r="1" spans="1:11" x14ac:dyDescent="0.2">
      <c r="A1" s="30" t="s">
        <v>92</v>
      </c>
      <c r="B1" s="30"/>
      <c r="C1" s="30"/>
      <c r="D1" s="30"/>
      <c r="E1" s="30"/>
      <c r="F1" s="30"/>
      <c r="G1" s="30"/>
      <c r="H1" s="30"/>
    </row>
    <row r="2" spans="1:11" x14ac:dyDescent="0.2">
      <c r="A2" s="30" t="s">
        <v>93</v>
      </c>
      <c r="B2" s="30"/>
      <c r="C2" s="30"/>
      <c r="D2" s="30"/>
      <c r="E2" s="30"/>
      <c r="F2" s="30"/>
      <c r="G2" s="30"/>
      <c r="H2" s="30"/>
      <c r="I2" s="30"/>
    </row>
    <row r="3" spans="1:11" x14ac:dyDescent="0.2">
      <c r="K3" s="15"/>
    </row>
    <row r="4" spans="1:11" s="3" customFormat="1" ht="12.75" customHeight="1" x14ac:dyDescent="0.25">
      <c r="A4" s="31" t="s">
        <v>0</v>
      </c>
      <c r="B4" s="32" t="s">
        <v>1</v>
      </c>
      <c r="C4" s="31" t="s">
        <v>2</v>
      </c>
      <c r="D4" s="31" t="s">
        <v>66</v>
      </c>
      <c r="E4" s="31" t="s">
        <v>3</v>
      </c>
      <c r="F4" s="31"/>
      <c r="G4" s="31"/>
      <c r="H4" s="31"/>
      <c r="I4" s="35" t="s">
        <v>4</v>
      </c>
      <c r="J4" s="36"/>
      <c r="K4" s="16"/>
    </row>
    <row r="5" spans="1:11" s="3" customFormat="1" ht="76.5" x14ac:dyDescent="0.25">
      <c r="A5" s="31"/>
      <c r="B5" s="32"/>
      <c r="C5" s="31"/>
      <c r="D5" s="31"/>
      <c r="E5" s="1" t="s">
        <v>5</v>
      </c>
      <c r="F5" s="1" t="s">
        <v>6</v>
      </c>
      <c r="G5" s="1" t="s">
        <v>7</v>
      </c>
      <c r="H5" s="1" t="s">
        <v>68</v>
      </c>
      <c r="I5" s="37"/>
      <c r="J5" s="38"/>
      <c r="K5" s="16"/>
    </row>
    <row r="6" spans="1:11" s="8" customFormat="1" ht="89.25" x14ac:dyDescent="0.25">
      <c r="A6" s="9"/>
      <c r="B6" s="25"/>
      <c r="C6" s="1"/>
      <c r="D6" s="1"/>
      <c r="E6" s="1"/>
      <c r="F6" s="1"/>
      <c r="G6" s="1"/>
      <c r="H6" s="1"/>
      <c r="I6" s="13" t="s">
        <v>69</v>
      </c>
      <c r="J6" s="13" t="s">
        <v>70</v>
      </c>
    </row>
    <row r="7" spans="1:11" ht="15.75" customHeight="1" x14ac:dyDescent="0.2">
      <c r="A7" s="39" t="s">
        <v>11</v>
      </c>
      <c r="B7" s="40"/>
      <c r="C7" s="1" t="s">
        <v>8</v>
      </c>
      <c r="D7" s="4">
        <f>SUM(D9:D23)</f>
        <v>648</v>
      </c>
      <c r="E7" s="4">
        <f>SUM(E9:E23)</f>
        <v>112</v>
      </c>
      <c r="F7" s="4"/>
      <c r="G7" s="4"/>
      <c r="H7" s="4">
        <f>SUM(H9:H23)</f>
        <v>536</v>
      </c>
      <c r="I7" s="10"/>
      <c r="J7" s="6"/>
      <c r="K7" s="2"/>
    </row>
    <row r="8" spans="1:11" ht="15.75" customHeight="1" x14ac:dyDescent="0.2">
      <c r="A8" s="41" t="s">
        <v>13</v>
      </c>
      <c r="B8" s="42"/>
      <c r="C8" s="1" t="s">
        <v>8</v>
      </c>
      <c r="D8" s="6"/>
      <c r="E8" s="6"/>
      <c r="F8" s="6"/>
      <c r="G8" s="6"/>
      <c r="H8" s="6"/>
      <c r="I8" s="11"/>
      <c r="J8" s="6"/>
      <c r="K8" s="2"/>
    </row>
    <row r="9" spans="1:11" x14ac:dyDescent="0.2">
      <c r="A9" s="7" t="s">
        <v>27</v>
      </c>
      <c r="B9" s="26" t="s">
        <v>46</v>
      </c>
      <c r="C9" s="1" t="s">
        <v>8</v>
      </c>
      <c r="D9" s="5">
        <f>SUM(E9:H9)</f>
        <v>40</v>
      </c>
      <c r="E9" s="5" t="s">
        <v>12</v>
      </c>
      <c r="F9" s="5" t="s">
        <v>12</v>
      </c>
      <c r="G9" s="5" t="s">
        <v>12</v>
      </c>
      <c r="H9" s="5">
        <v>40</v>
      </c>
      <c r="I9" s="18">
        <f>3*49.763</f>
        <v>149.28899999999999</v>
      </c>
      <c r="J9" s="17">
        <f>3*60.5</f>
        <v>181.5</v>
      </c>
      <c r="K9" s="2"/>
    </row>
    <row r="10" spans="1:11" ht="25.5" x14ac:dyDescent="0.2">
      <c r="A10" s="7" t="s">
        <v>28</v>
      </c>
      <c r="B10" s="26" t="s">
        <v>47</v>
      </c>
      <c r="C10" s="1" t="s">
        <v>8</v>
      </c>
      <c r="D10" s="5">
        <f t="shared" ref="D10:D68" si="0">SUM(E10:H10)</f>
        <v>41</v>
      </c>
      <c r="E10" s="5">
        <v>27</v>
      </c>
      <c r="F10" s="5" t="s">
        <v>12</v>
      </c>
      <c r="G10" s="5" t="s">
        <v>12</v>
      </c>
      <c r="H10" s="5">
        <v>14</v>
      </c>
      <c r="I10" s="18">
        <f>3*59.709</f>
        <v>179.12700000000001</v>
      </c>
      <c r="J10" s="6">
        <f>3*42</f>
        <v>126</v>
      </c>
      <c r="K10" s="2"/>
    </row>
    <row r="11" spans="1:11" x14ac:dyDescent="0.2">
      <c r="A11" s="7" t="s">
        <v>29</v>
      </c>
      <c r="B11" s="26" t="s">
        <v>48</v>
      </c>
      <c r="C11" s="1" t="s">
        <v>8</v>
      </c>
      <c r="D11" s="5">
        <f t="shared" si="0"/>
        <v>32</v>
      </c>
      <c r="E11" s="5">
        <v>20</v>
      </c>
      <c r="F11" s="5" t="s">
        <v>12</v>
      </c>
      <c r="G11" s="5" t="s">
        <v>12</v>
      </c>
      <c r="H11" s="5">
        <v>12</v>
      </c>
      <c r="I11" s="18">
        <f>3*59.567</f>
        <v>178.70099999999999</v>
      </c>
      <c r="J11" s="6">
        <f>3*65</f>
        <v>195</v>
      </c>
      <c r="K11" s="2"/>
    </row>
    <row r="12" spans="1:11" x14ac:dyDescent="0.2">
      <c r="A12" s="7" t="s">
        <v>30</v>
      </c>
      <c r="B12" s="26" t="s">
        <v>49</v>
      </c>
      <c r="C12" s="1" t="s">
        <v>8</v>
      </c>
      <c r="D12" s="5">
        <f t="shared" si="0"/>
        <v>29</v>
      </c>
      <c r="E12" s="5" t="s">
        <v>12</v>
      </c>
      <c r="F12" s="5" t="s">
        <v>12</v>
      </c>
      <c r="G12" s="5" t="s">
        <v>12</v>
      </c>
      <c r="H12" s="5">
        <v>29</v>
      </c>
      <c r="I12" s="18">
        <f>3*48.179</f>
        <v>144.53700000000001</v>
      </c>
      <c r="J12" s="6">
        <f>3*36</f>
        <v>108</v>
      </c>
      <c r="K12" s="2"/>
    </row>
    <row r="13" spans="1:11" x14ac:dyDescent="0.2">
      <c r="A13" s="7" t="s">
        <v>71</v>
      </c>
      <c r="B13" s="26" t="s">
        <v>65</v>
      </c>
      <c r="C13" s="1" t="s">
        <v>8</v>
      </c>
      <c r="D13" s="5">
        <f t="shared" si="0"/>
        <v>19</v>
      </c>
      <c r="E13" s="5">
        <v>15</v>
      </c>
      <c r="F13" s="5" t="s">
        <v>12</v>
      </c>
      <c r="G13" s="5" t="s">
        <v>12</v>
      </c>
      <c r="H13" s="5">
        <v>4</v>
      </c>
      <c r="I13" s="18">
        <f>3*70.148</f>
        <v>210.44399999999999</v>
      </c>
      <c r="J13" s="6">
        <f>3*67</f>
        <v>201</v>
      </c>
      <c r="K13" s="2"/>
    </row>
    <row r="14" spans="1:11" x14ac:dyDescent="0.2">
      <c r="A14" s="7" t="s">
        <v>31</v>
      </c>
      <c r="B14" s="26" t="s">
        <v>50</v>
      </c>
      <c r="C14" s="1" t="s">
        <v>8</v>
      </c>
      <c r="D14" s="5">
        <f t="shared" si="0"/>
        <v>31</v>
      </c>
      <c r="E14" s="5">
        <v>20</v>
      </c>
      <c r="F14" s="5" t="s">
        <v>12</v>
      </c>
      <c r="G14" s="5" t="s">
        <v>12</v>
      </c>
      <c r="H14" s="5">
        <v>11</v>
      </c>
      <c r="I14" s="18">
        <f>3*57.011</f>
        <v>171.03300000000002</v>
      </c>
      <c r="J14" s="17">
        <f>3*76.333</f>
        <v>228.999</v>
      </c>
      <c r="K14" s="2"/>
    </row>
    <row r="15" spans="1:11" x14ac:dyDescent="0.2">
      <c r="A15" s="7" t="s">
        <v>32</v>
      </c>
      <c r="B15" s="26" t="s">
        <v>51</v>
      </c>
      <c r="C15" s="1" t="s">
        <v>8</v>
      </c>
      <c r="D15" s="5">
        <f t="shared" si="0"/>
        <v>26</v>
      </c>
      <c r="E15" s="5">
        <v>15</v>
      </c>
      <c r="F15" s="5" t="s">
        <v>12</v>
      </c>
      <c r="G15" s="5" t="s">
        <v>12</v>
      </c>
      <c r="H15" s="5">
        <v>11</v>
      </c>
      <c r="I15" s="18">
        <f>3*51.71</f>
        <v>155.13</v>
      </c>
      <c r="J15" s="17">
        <f>3*74.778</f>
        <v>224.334</v>
      </c>
      <c r="K15" s="2"/>
    </row>
    <row r="16" spans="1:11" ht="25.5" x14ac:dyDescent="0.2">
      <c r="A16" s="7" t="s">
        <v>33</v>
      </c>
      <c r="B16" s="26" t="s">
        <v>53</v>
      </c>
      <c r="C16" s="1" t="s">
        <v>8</v>
      </c>
      <c r="D16" s="5">
        <f t="shared" si="0"/>
        <v>24</v>
      </c>
      <c r="E16" s="5">
        <v>15</v>
      </c>
      <c r="F16" s="5" t="s">
        <v>12</v>
      </c>
      <c r="G16" s="5" t="s">
        <v>12</v>
      </c>
      <c r="H16" s="5">
        <v>9</v>
      </c>
      <c r="I16" s="18">
        <f>3*55.375</f>
        <v>166.125</v>
      </c>
      <c r="J16" s="6" t="s">
        <v>12</v>
      </c>
      <c r="K16" s="2"/>
    </row>
    <row r="17" spans="1:11" x14ac:dyDescent="0.2">
      <c r="A17" s="7" t="s">
        <v>14</v>
      </c>
      <c r="B17" s="26" t="s">
        <v>54</v>
      </c>
      <c r="C17" s="1" t="s">
        <v>8</v>
      </c>
      <c r="D17" s="5">
        <f t="shared" si="0"/>
        <v>108</v>
      </c>
      <c r="E17" s="5" t="s">
        <v>12</v>
      </c>
      <c r="F17" s="5" t="s">
        <v>12</v>
      </c>
      <c r="G17" s="5" t="s">
        <v>12</v>
      </c>
      <c r="H17" s="5">
        <v>108</v>
      </c>
      <c r="I17" s="18">
        <f>3*57.038</f>
        <v>171.11399999999998</v>
      </c>
      <c r="J17" s="6">
        <f>3*77</f>
        <v>231</v>
      </c>
      <c r="K17" s="2"/>
    </row>
    <row r="18" spans="1:11" x14ac:dyDescent="0.2">
      <c r="A18" s="7" t="s">
        <v>15</v>
      </c>
      <c r="B18" s="26" t="s">
        <v>55</v>
      </c>
      <c r="C18" s="1" t="s">
        <v>8</v>
      </c>
      <c r="D18" s="5">
        <f t="shared" si="0"/>
        <v>77</v>
      </c>
      <c r="E18" s="5" t="s">
        <v>12</v>
      </c>
      <c r="F18" s="5" t="s">
        <v>12</v>
      </c>
      <c r="G18" s="5" t="s">
        <v>12</v>
      </c>
      <c r="H18" s="5">
        <v>77</v>
      </c>
      <c r="I18" s="18">
        <f>3*53.705</f>
        <v>161.11500000000001</v>
      </c>
      <c r="J18" s="17">
        <f>3*67.083</f>
        <v>201.249</v>
      </c>
      <c r="K18" s="2"/>
    </row>
    <row r="19" spans="1:11" x14ac:dyDescent="0.2">
      <c r="A19" s="7" t="s">
        <v>16</v>
      </c>
      <c r="B19" s="26" t="s">
        <v>56</v>
      </c>
      <c r="C19" s="1" t="s">
        <v>8</v>
      </c>
      <c r="D19" s="5">
        <f t="shared" si="0"/>
        <v>69</v>
      </c>
      <c r="E19" s="5" t="s">
        <v>12</v>
      </c>
      <c r="F19" s="5" t="s">
        <v>12</v>
      </c>
      <c r="G19" s="5" t="s">
        <v>12</v>
      </c>
      <c r="H19" s="5">
        <v>69</v>
      </c>
      <c r="I19" s="18">
        <f>3*52.876</f>
        <v>158.62799999999999</v>
      </c>
      <c r="J19" s="17">
        <f>3*46.5</f>
        <v>139.5</v>
      </c>
      <c r="K19" s="2"/>
    </row>
    <row r="20" spans="1:11" x14ac:dyDescent="0.2">
      <c r="A20" s="7" t="s">
        <v>17</v>
      </c>
      <c r="B20" s="26" t="s">
        <v>57</v>
      </c>
      <c r="C20" s="1" t="s">
        <v>8</v>
      </c>
      <c r="D20" s="5">
        <f t="shared" si="0"/>
        <v>68</v>
      </c>
      <c r="E20" s="5" t="s">
        <v>12</v>
      </c>
      <c r="F20" s="5" t="s">
        <v>12</v>
      </c>
      <c r="G20" s="5" t="s">
        <v>12</v>
      </c>
      <c r="H20" s="5">
        <v>68</v>
      </c>
      <c r="I20" s="18">
        <f>3*55.86</f>
        <v>167.57999999999998</v>
      </c>
      <c r="J20" s="17">
        <f>3*48.758</f>
        <v>146.274</v>
      </c>
      <c r="K20" s="2"/>
    </row>
    <row r="21" spans="1:11" x14ac:dyDescent="0.2">
      <c r="A21" s="7" t="s">
        <v>18</v>
      </c>
      <c r="B21" s="26" t="s">
        <v>58</v>
      </c>
      <c r="C21" s="1" t="s">
        <v>8</v>
      </c>
      <c r="D21" s="5">
        <f t="shared" si="0"/>
        <v>19</v>
      </c>
      <c r="E21" s="5" t="s">
        <v>12</v>
      </c>
      <c r="F21" s="5" t="s">
        <v>12</v>
      </c>
      <c r="G21" s="5" t="s">
        <v>12</v>
      </c>
      <c r="H21" s="5">
        <v>19</v>
      </c>
      <c r="I21" s="18">
        <f>3*53.926</f>
        <v>161.77800000000002</v>
      </c>
      <c r="J21" s="17">
        <f>3*31.5</f>
        <v>94.5</v>
      </c>
      <c r="K21" s="2"/>
    </row>
    <row r="22" spans="1:11" x14ac:dyDescent="0.2">
      <c r="A22" s="7" t="s">
        <v>19</v>
      </c>
      <c r="B22" s="26" t="s">
        <v>59</v>
      </c>
      <c r="C22" s="1" t="s">
        <v>8</v>
      </c>
      <c r="D22" s="5">
        <f t="shared" si="0"/>
        <v>39</v>
      </c>
      <c r="E22" s="5" t="s">
        <v>12</v>
      </c>
      <c r="F22" s="5" t="s">
        <v>12</v>
      </c>
      <c r="G22" s="5" t="s">
        <v>12</v>
      </c>
      <c r="H22" s="5">
        <v>39</v>
      </c>
      <c r="I22" s="18">
        <f>3*53.596</f>
        <v>160.78799999999998</v>
      </c>
      <c r="J22" s="17">
        <f>3*43.667</f>
        <v>131.001</v>
      </c>
      <c r="K22" s="2"/>
    </row>
    <row r="23" spans="1:11" x14ac:dyDescent="0.2">
      <c r="A23" s="7" t="s">
        <v>20</v>
      </c>
      <c r="B23" s="26" t="s">
        <v>60</v>
      </c>
      <c r="C23" s="1" t="s">
        <v>8</v>
      </c>
      <c r="D23" s="5">
        <f t="shared" si="0"/>
        <v>26</v>
      </c>
      <c r="E23" s="5" t="s">
        <v>12</v>
      </c>
      <c r="F23" s="5" t="s">
        <v>12</v>
      </c>
      <c r="G23" s="5" t="s">
        <v>12</v>
      </c>
      <c r="H23" s="5">
        <v>26</v>
      </c>
      <c r="I23" s="18">
        <f>3*55.514</f>
        <v>166.542</v>
      </c>
      <c r="J23" s="17">
        <f>3*64.083</f>
        <v>192.249</v>
      </c>
      <c r="K23" s="2"/>
    </row>
    <row r="24" spans="1:11" x14ac:dyDescent="0.2">
      <c r="A24" s="33" t="s">
        <v>21</v>
      </c>
      <c r="B24" s="34"/>
      <c r="C24" s="1" t="s">
        <v>8</v>
      </c>
      <c r="D24" s="4">
        <f>SUM(D26:D29)</f>
        <v>717</v>
      </c>
      <c r="E24" s="4">
        <f>SUM(E26:E29)</f>
        <v>520</v>
      </c>
      <c r="F24" s="4"/>
      <c r="G24" s="4"/>
      <c r="H24" s="4">
        <f t="shared" ref="H24" si="1">SUM(H26:H29)</f>
        <v>197</v>
      </c>
      <c r="I24" s="19"/>
      <c r="J24" s="20"/>
      <c r="K24" s="2"/>
    </row>
    <row r="25" spans="1:11" x14ac:dyDescent="0.2">
      <c r="A25" s="28" t="s">
        <v>22</v>
      </c>
      <c r="B25" s="29"/>
      <c r="C25" s="1" t="s">
        <v>8</v>
      </c>
      <c r="D25" s="5"/>
      <c r="E25" s="6"/>
      <c r="F25" s="6"/>
      <c r="G25" s="6"/>
      <c r="H25" s="6"/>
      <c r="I25" s="18"/>
      <c r="J25" s="6"/>
      <c r="K25" s="2"/>
    </row>
    <row r="26" spans="1:11" x14ac:dyDescent="0.2">
      <c r="A26" s="7" t="s">
        <v>34</v>
      </c>
      <c r="B26" s="26" t="s">
        <v>61</v>
      </c>
      <c r="C26" s="1" t="s">
        <v>8</v>
      </c>
      <c r="D26" s="5">
        <f t="shared" si="0"/>
        <v>172</v>
      </c>
      <c r="E26" s="5">
        <v>145</v>
      </c>
      <c r="F26" s="5" t="s">
        <v>12</v>
      </c>
      <c r="G26" s="5" t="s">
        <v>12</v>
      </c>
      <c r="H26" s="5">
        <v>27</v>
      </c>
      <c r="I26" s="18">
        <f>3*55.098</f>
        <v>165.29399999999998</v>
      </c>
      <c r="J26" s="17">
        <f>3*58.647</f>
        <v>175.941</v>
      </c>
      <c r="K26" s="2"/>
    </row>
    <row r="27" spans="1:11" x14ac:dyDescent="0.2">
      <c r="A27" s="7" t="s">
        <v>35</v>
      </c>
      <c r="B27" s="26" t="s">
        <v>62</v>
      </c>
      <c r="C27" s="1" t="s">
        <v>8</v>
      </c>
      <c r="D27" s="5">
        <f t="shared" si="0"/>
        <v>211</v>
      </c>
      <c r="E27" s="5">
        <v>120</v>
      </c>
      <c r="F27" s="5" t="s">
        <v>12</v>
      </c>
      <c r="G27" s="5" t="s">
        <v>12</v>
      </c>
      <c r="H27" s="5">
        <v>91</v>
      </c>
      <c r="I27" s="18">
        <f>3*55.066</f>
        <v>165.19800000000001</v>
      </c>
      <c r="J27" s="17">
        <f>3*58.31</f>
        <v>174.93</v>
      </c>
      <c r="K27" s="2"/>
    </row>
    <row r="28" spans="1:11" ht="25.5" x14ac:dyDescent="0.2">
      <c r="A28" s="7" t="s">
        <v>36</v>
      </c>
      <c r="B28" s="26" t="s">
        <v>63</v>
      </c>
      <c r="C28" s="1" t="s">
        <v>8</v>
      </c>
      <c r="D28" s="5">
        <f t="shared" si="0"/>
        <v>189</v>
      </c>
      <c r="E28" s="5">
        <v>150</v>
      </c>
      <c r="F28" s="5" t="s">
        <v>12</v>
      </c>
      <c r="G28" s="5" t="s">
        <v>12</v>
      </c>
      <c r="H28" s="5">
        <v>39</v>
      </c>
      <c r="I28" s="18">
        <f>3*56.416</f>
        <v>169.24799999999999</v>
      </c>
      <c r="J28" s="17">
        <f>3*61.605</f>
        <v>184.815</v>
      </c>
      <c r="K28" s="2"/>
    </row>
    <row r="29" spans="1:11" ht="25.5" x14ac:dyDescent="0.2">
      <c r="A29" s="7" t="s">
        <v>37</v>
      </c>
      <c r="B29" s="26" t="s">
        <v>64</v>
      </c>
      <c r="C29" s="1" t="s">
        <v>8</v>
      </c>
      <c r="D29" s="5">
        <f t="shared" si="0"/>
        <v>145</v>
      </c>
      <c r="E29" s="5">
        <v>105</v>
      </c>
      <c r="F29" s="5" t="s">
        <v>12</v>
      </c>
      <c r="G29" s="5" t="s">
        <v>12</v>
      </c>
      <c r="H29" s="5">
        <v>40</v>
      </c>
      <c r="I29" s="18">
        <f>3*53.803</f>
        <v>161.40899999999999</v>
      </c>
      <c r="J29" s="17">
        <f>3*57.439</f>
        <v>172.31700000000001</v>
      </c>
      <c r="K29" s="2"/>
    </row>
    <row r="30" spans="1:11" x14ac:dyDescent="0.2">
      <c r="A30" s="33" t="s">
        <v>23</v>
      </c>
      <c r="B30" s="34"/>
      <c r="C30" s="1" t="s">
        <v>8</v>
      </c>
      <c r="D30" s="4">
        <f>SUM(D32:D43)</f>
        <v>189</v>
      </c>
      <c r="E30" s="4">
        <f t="shared" ref="E30:H30" si="2">SUM(E32:E43)</f>
        <v>75</v>
      </c>
      <c r="F30" s="4"/>
      <c r="G30" s="4"/>
      <c r="H30" s="4">
        <f t="shared" si="2"/>
        <v>114</v>
      </c>
      <c r="I30" s="18"/>
      <c r="J30" s="6"/>
      <c r="K30" s="2"/>
    </row>
    <row r="31" spans="1:11" x14ac:dyDescent="0.2">
      <c r="A31" s="28" t="s">
        <v>13</v>
      </c>
      <c r="B31" s="29"/>
      <c r="C31" s="1" t="s">
        <v>8</v>
      </c>
      <c r="D31" s="5"/>
      <c r="E31" s="6"/>
      <c r="F31" s="6"/>
      <c r="G31" s="6"/>
      <c r="H31" s="6"/>
      <c r="I31" s="17"/>
      <c r="J31" s="6"/>
      <c r="K31" s="2"/>
    </row>
    <row r="32" spans="1:11" x14ac:dyDescent="0.2">
      <c r="A32" s="7" t="s">
        <v>38</v>
      </c>
      <c r="B32" s="26" t="s">
        <v>46</v>
      </c>
      <c r="C32" s="1" t="s">
        <v>8</v>
      </c>
      <c r="D32" s="5">
        <f t="shared" si="0"/>
        <v>16</v>
      </c>
      <c r="E32" s="5">
        <v>15</v>
      </c>
      <c r="F32" s="5" t="s">
        <v>12</v>
      </c>
      <c r="G32" s="5" t="s">
        <v>12</v>
      </c>
      <c r="H32" s="5">
        <v>1</v>
      </c>
      <c r="I32" s="18" t="s">
        <v>12</v>
      </c>
      <c r="J32" s="17">
        <v>97.625</v>
      </c>
      <c r="K32" s="2"/>
    </row>
    <row r="33" spans="1:11" x14ac:dyDescent="0.2">
      <c r="A33" s="7" t="s">
        <v>67</v>
      </c>
      <c r="B33" s="26" t="s">
        <v>49</v>
      </c>
      <c r="C33" s="21" t="s">
        <v>8</v>
      </c>
      <c r="D33" s="5">
        <f t="shared" si="0"/>
        <v>11</v>
      </c>
      <c r="E33" s="5">
        <v>10</v>
      </c>
      <c r="F33" s="5" t="s">
        <v>12</v>
      </c>
      <c r="G33" s="5" t="s">
        <v>12</v>
      </c>
      <c r="H33" s="5">
        <v>1</v>
      </c>
      <c r="I33" s="18" t="s">
        <v>12</v>
      </c>
      <c r="J33" s="17">
        <v>78.180999999999997</v>
      </c>
      <c r="K33" s="2"/>
    </row>
    <row r="34" spans="1:11" ht="25.5" x14ac:dyDescent="0.2">
      <c r="A34" s="7" t="s">
        <v>39</v>
      </c>
      <c r="B34" s="26" t="s">
        <v>47</v>
      </c>
      <c r="C34" s="1" t="s">
        <v>8</v>
      </c>
      <c r="D34" s="5">
        <f t="shared" si="0"/>
        <v>4</v>
      </c>
      <c r="E34" s="5" t="s">
        <v>12</v>
      </c>
      <c r="F34" s="5" t="s">
        <v>12</v>
      </c>
      <c r="G34" s="5" t="s">
        <v>12</v>
      </c>
      <c r="H34" s="5">
        <v>4</v>
      </c>
      <c r="I34" s="18" t="s">
        <v>12</v>
      </c>
      <c r="J34" s="6">
        <v>94</v>
      </c>
      <c r="K34" s="2"/>
    </row>
    <row r="35" spans="1:11" x14ac:dyDescent="0.2">
      <c r="A35" s="7" t="s">
        <v>40</v>
      </c>
      <c r="B35" s="26" t="s">
        <v>48</v>
      </c>
      <c r="C35" s="1" t="s">
        <v>8</v>
      </c>
      <c r="D35" s="5">
        <f t="shared" si="0"/>
        <v>16</v>
      </c>
      <c r="E35" s="5">
        <v>5</v>
      </c>
      <c r="F35" s="5" t="s">
        <v>12</v>
      </c>
      <c r="G35" s="5" t="s">
        <v>12</v>
      </c>
      <c r="H35" s="5">
        <v>11</v>
      </c>
      <c r="I35" s="18" t="s">
        <v>12</v>
      </c>
      <c r="J35" s="17">
        <v>70.909000000000006</v>
      </c>
      <c r="K35" s="2"/>
    </row>
    <row r="36" spans="1:11" x14ac:dyDescent="0.2">
      <c r="A36" s="7" t="s">
        <v>41</v>
      </c>
      <c r="B36" s="26" t="s">
        <v>65</v>
      </c>
      <c r="C36" s="1" t="s">
        <v>8</v>
      </c>
      <c r="D36" s="5">
        <f t="shared" si="0"/>
        <v>8</v>
      </c>
      <c r="E36" s="5">
        <v>5</v>
      </c>
      <c r="F36" s="5" t="s">
        <v>12</v>
      </c>
      <c r="G36" s="5" t="s">
        <v>12</v>
      </c>
      <c r="H36" s="5">
        <v>3</v>
      </c>
      <c r="I36" s="18" t="s">
        <v>12</v>
      </c>
      <c r="J36" s="17">
        <v>84.141999999999996</v>
      </c>
      <c r="K36" s="2"/>
    </row>
    <row r="37" spans="1:11" x14ac:dyDescent="0.2">
      <c r="A37" s="7" t="s">
        <v>42</v>
      </c>
      <c r="B37" s="26" t="s">
        <v>50</v>
      </c>
      <c r="C37" s="1" t="s">
        <v>8</v>
      </c>
      <c r="D37" s="5">
        <f t="shared" si="0"/>
        <v>21</v>
      </c>
      <c r="E37" s="5">
        <v>10</v>
      </c>
      <c r="F37" s="5" t="s">
        <v>12</v>
      </c>
      <c r="G37" s="5" t="s">
        <v>12</v>
      </c>
      <c r="H37" s="5">
        <v>11</v>
      </c>
      <c r="I37" s="18" t="s">
        <v>12</v>
      </c>
      <c r="J37" s="17">
        <v>81.587999999999994</v>
      </c>
      <c r="K37" s="2"/>
    </row>
    <row r="38" spans="1:11" x14ac:dyDescent="0.2">
      <c r="A38" s="7" t="s">
        <v>43</v>
      </c>
      <c r="B38" s="26" t="s">
        <v>51</v>
      </c>
      <c r="C38" s="1" t="s">
        <v>8</v>
      </c>
      <c r="D38" s="5">
        <f t="shared" si="0"/>
        <v>1</v>
      </c>
      <c r="E38" s="5"/>
      <c r="F38" s="5" t="s">
        <v>12</v>
      </c>
      <c r="G38" s="5" t="s">
        <v>12</v>
      </c>
      <c r="H38" s="5">
        <v>1</v>
      </c>
      <c r="I38" s="18" t="s">
        <v>12</v>
      </c>
      <c r="J38" s="6">
        <v>90</v>
      </c>
      <c r="K38" s="2"/>
    </row>
    <row r="39" spans="1:11" ht="25.5" x14ac:dyDescent="0.2">
      <c r="A39" s="7" t="s">
        <v>44</v>
      </c>
      <c r="B39" s="26" t="s">
        <v>52</v>
      </c>
      <c r="C39" s="1" t="s">
        <v>8</v>
      </c>
      <c r="D39" s="5">
        <f t="shared" si="0"/>
        <v>23</v>
      </c>
      <c r="E39" s="5">
        <v>20</v>
      </c>
      <c r="F39" s="5" t="s">
        <v>12</v>
      </c>
      <c r="G39" s="5" t="s">
        <v>12</v>
      </c>
      <c r="H39" s="5">
        <v>3</v>
      </c>
      <c r="I39" s="18" t="s">
        <v>12</v>
      </c>
      <c r="J39" s="17">
        <v>82.760999999999996</v>
      </c>
      <c r="K39" s="2"/>
    </row>
    <row r="40" spans="1:11" ht="25.5" x14ac:dyDescent="0.2">
      <c r="A40" s="7" t="s">
        <v>45</v>
      </c>
      <c r="B40" s="26" t="s">
        <v>53</v>
      </c>
      <c r="C40" s="1" t="s">
        <v>8</v>
      </c>
      <c r="D40" s="5">
        <f t="shared" si="0"/>
        <v>10</v>
      </c>
      <c r="E40" s="5">
        <v>10</v>
      </c>
      <c r="F40" s="5" t="s">
        <v>12</v>
      </c>
      <c r="G40" s="5" t="s">
        <v>12</v>
      </c>
      <c r="H40" s="5"/>
      <c r="I40" s="18" t="s">
        <v>12</v>
      </c>
      <c r="J40" s="17">
        <v>68.5</v>
      </c>
      <c r="K40" s="2"/>
    </row>
    <row r="41" spans="1:11" x14ac:dyDescent="0.2">
      <c r="A41" s="7" t="s">
        <v>24</v>
      </c>
      <c r="B41" s="26" t="s">
        <v>54</v>
      </c>
      <c r="C41" s="1" t="s">
        <v>8</v>
      </c>
      <c r="D41" s="5">
        <f t="shared" si="0"/>
        <v>33</v>
      </c>
      <c r="E41" s="5" t="s">
        <v>12</v>
      </c>
      <c r="F41" s="5" t="s">
        <v>12</v>
      </c>
      <c r="G41" s="5" t="s">
        <v>12</v>
      </c>
      <c r="H41" s="5">
        <v>33</v>
      </c>
      <c r="I41" s="18" t="s">
        <v>12</v>
      </c>
      <c r="J41" s="17">
        <v>88.947000000000003</v>
      </c>
      <c r="K41" s="2"/>
    </row>
    <row r="42" spans="1:11" x14ac:dyDescent="0.2">
      <c r="A42" s="7" t="s">
        <v>25</v>
      </c>
      <c r="B42" s="26" t="s">
        <v>55</v>
      </c>
      <c r="C42" s="1" t="s">
        <v>8</v>
      </c>
      <c r="D42" s="5">
        <f t="shared" si="0"/>
        <v>31</v>
      </c>
      <c r="E42" s="5" t="s">
        <v>12</v>
      </c>
      <c r="F42" s="5" t="s">
        <v>12</v>
      </c>
      <c r="G42" s="5" t="s">
        <v>12</v>
      </c>
      <c r="H42" s="5">
        <v>31</v>
      </c>
      <c r="I42" s="18" t="s">
        <v>12</v>
      </c>
      <c r="J42" s="17">
        <v>86.772000000000006</v>
      </c>
      <c r="K42" s="2"/>
    </row>
    <row r="43" spans="1:11" x14ac:dyDescent="0.2">
      <c r="A43" s="7" t="s">
        <v>26</v>
      </c>
      <c r="B43" s="26" t="s">
        <v>56</v>
      </c>
      <c r="C43" s="1" t="s">
        <v>8</v>
      </c>
      <c r="D43" s="5">
        <f t="shared" si="0"/>
        <v>15</v>
      </c>
      <c r="E43" s="5" t="s">
        <v>12</v>
      </c>
      <c r="F43" s="5" t="s">
        <v>12</v>
      </c>
      <c r="G43" s="5" t="s">
        <v>12</v>
      </c>
      <c r="H43" s="5">
        <v>15</v>
      </c>
      <c r="I43" s="18" t="s">
        <v>12</v>
      </c>
      <c r="J43" s="17">
        <v>93.427999999999997</v>
      </c>
      <c r="K43" s="2"/>
    </row>
    <row r="44" spans="1:11" x14ac:dyDescent="0.2">
      <c r="A44" s="33" t="s">
        <v>72</v>
      </c>
      <c r="B44" s="34"/>
      <c r="C44" s="13" t="s">
        <v>8</v>
      </c>
      <c r="D44" s="4">
        <f>SUM(D46:D55)</f>
        <v>45</v>
      </c>
      <c r="E44" s="4">
        <f>SUM(E46:E55)</f>
        <v>40</v>
      </c>
      <c r="F44" s="4"/>
      <c r="G44" s="4"/>
      <c r="H44" s="4">
        <f>SUM(H46:H55)</f>
        <v>5</v>
      </c>
      <c r="I44" s="18"/>
      <c r="J44" s="6"/>
      <c r="K44" s="2"/>
    </row>
    <row r="45" spans="1:11" x14ac:dyDescent="0.2">
      <c r="A45" s="33" t="s">
        <v>73</v>
      </c>
      <c r="B45" s="34"/>
      <c r="C45" s="13"/>
      <c r="D45" s="5"/>
      <c r="E45" s="5"/>
      <c r="F45" s="5"/>
      <c r="G45" s="5"/>
      <c r="H45" s="5"/>
      <c r="I45" s="18"/>
      <c r="J45" s="6"/>
      <c r="K45" s="2"/>
    </row>
    <row r="46" spans="1:11" x14ac:dyDescent="0.2">
      <c r="A46" s="7" t="s">
        <v>74</v>
      </c>
      <c r="B46" s="26" t="s">
        <v>75</v>
      </c>
      <c r="C46" s="13" t="s">
        <v>8</v>
      </c>
      <c r="D46" s="5">
        <f t="shared" si="0"/>
        <v>1</v>
      </c>
      <c r="E46" s="5">
        <v>1</v>
      </c>
      <c r="F46" s="5" t="s">
        <v>12</v>
      </c>
      <c r="G46" s="5" t="s">
        <v>12</v>
      </c>
      <c r="H46" s="5" t="s">
        <v>12</v>
      </c>
      <c r="I46" s="5" t="s">
        <v>12</v>
      </c>
      <c r="J46" s="17">
        <f>3*4.333</f>
        <v>12.999000000000001</v>
      </c>
      <c r="K46" s="2"/>
    </row>
    <row r="47" spans="1:11" x14ac:dyDescent="0.2">
      <c r="A47" s="7" t="s">
        <v>76</v>
      </c>
      <c r="B47" s="26" t="s">
        <v>77</v>
      </c>
      <c r="C47" s="13" t="s">
        <v>8</v>
      </c>
      <c r="D47" s="5">
        <f t="shared" si="0"/>
        <v>3</v>
      </c>
      <c r="E47" s="5">
        <v>3</v>
      </c>
      <c r="F47" s="5" t="s">
        <v>12</v>
      </c>
      <c r="G47" s="5" t="s">
        <v>12</v>
      </c>
      <c r="H47" s="5" t="s">
        <v>12</v>
      </c>
      <c r="I47" s="5" t="s">
        <v>12</v>
      </c>
      <c r="J47" s="17">
        <f>3*4.556</f>
        <v>13.667999999999999</v>
      </c>
      <c r="K47" s="2"/>
    </row>
    <row r="48" spans="1:11" ht="25.5" x14ac:dyDescent="0.2">
      <c r="A48" s="7" t="s">
        <v>78</v>
      </c>
      <c r="B48" s="26" t="s">
        <v>79</v>
      </c>
      <c r="C48" s="13" t="s">
        <v>8</v>
      </c>
      <c r="D48" s="5">
        <f t="shared" si="0"/>
        <v>6</v>
      </c>
      <c r="E48" s="5">
        <v>6</v>
      </c>
      <c r="F48" s="5" t="s">
        <v>12</v>
      </c>
      <c r="G48" s="5" t="s">
        <v>12</v>
      </c>
      <c r="H48" s="5" t="s">
        <v>12</v>
      </c>
      <c r="I48" s="5" t="s">
        <v>12</v>
      </c>
      <c r="J48" s="17">
        <f>3*3.556</f>
        <v>10.667999999999999</v>
      </c>
      <c r="K48" s="2"/>
    </row>
    <row r="49" spans="1:11" x14ac:dyDescent="0.2">
      <c r="A49" s="7" t="s">
        <v>80</v>
      </c>
      <c r="B49" s="26" t="s">
        <v>48</v>
      </c>
      <c r="C49" s="13" t="s">
        <v>8</v>
      </c>
      <c r="D49" s="5">
        <f t="shared" si="0"/>
        <v>3</v>
      </c>
      <c r="E49" s="5">
        <v>3</v>
      </c>
      <c r="F49" s="5" t="s">
        <v>12</v>
      </c>
      <c r="G49" s="5" t="s">
        <v>12</v>
      </c>
      <c r="H49" s="5" t="s">
        <v>12</v>
      </c>
      <c r="I49" s="5" t="s">
        <v>12</v>
      </c>
      <c r="J49" s="17">
        <f>3*4</f>
        <v>12</v>
      </c>
      <c r="K49" s="2"/>
    </row>
    <row r="50" spans="1:11" ht="25.5" customHeight="1" x14ac:dyDescent="0.2">
      <c r="A50" s="7" t="s">
        <v>81</v>
      </c>
      <c r="B50" s="26" t="s">
        <v>82</v>
      </c>
      <c r="C50" s="13" t="s">
        <v>8</v>
      </c>
      <c r="D50" s="5">
        <f t="shared" si="0"/>
        <v>1</v>
      </c>
      <c r="E50" s="5">
        <v>1</v>
      </c>
      <c r="F50" s="5" t="s">
        <v>12</v>
      </c>
      <c r="G50" s="5" t="s">
        <v>12</v>
      </c>
      <c r="H50" s="5" t="s">
        <v>12</v>
      </c>
      <c r="I50" s="5" t="s">
        <v>12</v>
      </c>
      <c r="J50" s="17">
        <f>3*4.667</f>
        <v>14.000999999999999</v>
      </c>
      <c r="K50" s="2"/>
    </row>
    <row r="51" spans="1:11" x14ac:dyDescent="0.2">
      <c r="A51" s="7" t="s">
        <v>83</v>
      </c>
      <c r="B51" s="26" t="s">
        <v>84</v>
      </c>
      <c r="C51" s="13" t="s">
        <v>8</v>
      </c>
      <c r="D51" s="5">
        <f t="shared" si="0"/>
        <v>3</v>
      </c>
      <c r="E51" s="5">
        <v>3</v>
      </c>
      <c r="F51" s="5" t="s">
        <v>12</v>
      </c>
      <c r="G51" s="5" t="s">
        <v>12</v>
      </c>
      <c r="H51" s="5" t="s">
        <v>12</v>
      </c>
      <c r="I51" s="5" t="s">
        <v>12</v>
      </c>
      <c r="J51" s="17">
        <f>3*3.889</f>
        <v>11.667</v>
      </c>
      <c r="K51" s="2"/>
    </row>
    <row r="52" spans="1:11" ht="25.5" x14ac:dyDescent="0.2">
      <c r="A52" s="7" t="s">
        <v>85</v>
      </c>
      <c r="B52" s="26" t="s">
        <v>86</v>
      </c>
      <c r="C52" s="13" t="s">
        <v>8</v>
      </c>
      <c r="D52" s="5">
        <f t="shared" si="0"/>
        <v>18</v>
      </c>
      <c r="E52" s="5">
        <v>18</v>
      </c>
      <c r="F52" s="5" t="s">
        <v>12</v>
      </c>
      <c r="G52" s="5" t="s">
        <v>12</v>
      </c>
      <c r="H52" s="5" t="s">
        <v>12</v>
      </c>
      <c r="I52" s="5" t="s">
        <v>12</v>
      </c>
      <c r="J52" s="17">
        <f>3*4.222</f>
        <v>12.666</v>
      </c>
      <c r="K52" s="2"/>
    </row>
    <row r="53" spans="1:11" x14ac:dyDescent="0.2">
      <c r="A53" s="7" t="s">
        <v>87</v>
      </c>
      <c r="B53" s="26" t="s">
        <v>88</v>
      </c>
      <c r="C53" s="13" t="s">
        <v>8</v>
      </c>
      <c r="D53" s="5">
        <f t="shared" si="0"/>
        <v>5</v>
      </c>
      <c r="E53" s="5">
        <v>5</v>
      </c>
      <c r="F53" s="5" t="s">
        <v>12</v>
      </c>
      <c r="G53" s="5" t="s">
        <v>12</v>
      </c>
      <c r="H53" s="5" t="s">
        <v>12</v>
      </c>
      <c r="I53" s="5" t="s">
        <v>12</v>
      </c>
      <c r="J53" s="17">
        <f>3*4.2</f>
        <v>12.600000000000001</v>
      </c>
      <c r="K53" s="2"/>
    </row>
    <row r="54" spans="1:11" x14ac:dyDescent="0.2">
      <c r="A54" s="7" t="s">
        <v>89</v>
      </c>
      <c r="B54" s="26" t="s">
        <v>54</v>
      </c>
      <c r="C54" s="13" t="s">
        <v>8</v>
      </c>
      <c r="D54" s="5">
        <f t="shared" si="0"/>
        <v>4</v>
      </c>
      <c r="E54" s="5" t="s">
        <v>12</v>
      </c>
      <c r="F54" s="5" t="s">
        <v>12</v>
      </c>
      <c r="G54" s="5" t="s">
        <v>12</v>
      </c>
      <c r="H54" s="5">
        <v>4</v>
      </c>
      <c r="I54" s="5" t="s">
        <v>12</v>
      </c>
      <c r="J54" s="17">
        <f>3*4.25</f>
        <v>12.75</v>
      </c>
      <c r="K54" s="2"/>
    </row>
    <row r="55" spans="1:11" x14ac:dyDescent="0.2">
      <c r="A55" s="7" t="s">
        <v>90</v>
      </c>
      <c r="B55" s="26" t="s">
        <v>91</v>
      </c>
      <c r="C55" s="13" t="s">
        <v>8</v>
      </c>
      <c r="D55" s="5">
        <f t="shared" si="0"/>
        <v>1</v>
      </c>
      <c r="E55" s="5" t="s">
        <v>12</v>
      </c>
      <c r="F55" s="5" t="s">
        <v>12</v>
      </c>
      <c r="G55" s="5" t="s">
        <v>12</v>
      </c>
      <c r="H55" s="5">
        <v>1</v>
      </c>
      <c r="I55" s="5" t="s">
        <v>12</v>
      </c>
      <c r="J55" s="17">
        <f>3*4.333</f>
        <v>12.999000000000001</v>
      </c>
      <c r="K55" s="2"/>
    </row>
    <row r="56" spans="1:11" ht="15.75" customHeight="1" x14ac:dyDescent="0.2">
      <c r="A56" s="39" t="s">
        <v>11</v>
      </c>
      <c r="B56" s="40"/>
      <c r="C56" s="1" t="s">
        <v>9</v>
      </c>
      <c r="D56" s="4">
        <f>SUM(D58:D68)</f>
        <v>280</v>
      </c>
      <c r="E56" s="4">
        <f t="shared" ref="E56:H56" si="3">SUM(E58:E68)</f>
        <v>30</v>
      </c>
      <c r="F56" s="4"/>
      <c r="G56" s="4"/>
      <c r="H56" s="4">
        <f t="shared" si="3"/>
        <v>250</v>
      </c>
      <c r="I56" s="18"/>
      <c r="J56" s="6"/>
      <c r="K56" s="2"/>
    </row>
    <row r="57" spans="1:11" ht="15.75" customHeight="1" x14ac:dyDescent="0.2">
      <c r="A57" s="41" t="s">
        <v>13</v>
      </c>
      <c r="B57" s="42"/>
      <c r="C57" s="1" t="s">
        <v>9</v>
      </c>
      <c r="D57" s="5"/>
      <c r="E57" s="6"/>
      <c r="F57" s="6"/>
      <c r="G57" s="6"/>
      <c r="H57" s="6"/>
      <c r="I57" s="18"/>
      <c r="J57" s="6"/>
      <c r="K57" s="2"/>
    </row>
    <row r="58" spans="1:11" x14ac:dyDescent="0.2">
      <c r="A58" s="7" t="s">
        <v>27</v>
      </c>
      <c r="B58" s="26" t="s">
        <v>46</v>
      </c>
      <c r="C58" s="1" t="s">
        <v>9</v>
      </c>
      <c r="D58" s="5">
        <f>SUM(E58:H58)</f>
        <v>45</v>
      </c>
      <c r="E58" s="5">
        <v>10</v>
      </c>
      <c r="F58" s="5" t="s">
        <v>12</v>
      </c>
      <c r="G58" s="5" t="s">
        <v>12</v>
      </c>
      <c r="H58" s="5">
        <v>35</v>
      </c>
      <c r="I58" s="18">
        <f>3*47.944</f>
        <v>143.83199999999999</v>
      </c>
      <c r="J58" s="17">
        <f>3*46.856</f>
        <v>140.56800000000001</v>
      </c>
      <c r="K58" s="2"/>
    </row>
    <row r="59" spans="1:11" ht="25.5" x14ac:dyDescent="0.2">
      <c r="A59" s="7" t="s">
        <v>28</v>
      </c>
      <c r="B59" s="26" t="s">
        <v>47</v>
      </c>
      <c r="C59" s="14" t="s">
        <v>9</v>
      </c>
      <c r="D59" s="5">
        <f>SUM(E59:H59)</f>
        <v>13</v>
      </c>
      <c r="E59" s="5" t="s">
        <v>12</v>
      </c>
      <c r="F59" s="5" t="s">
        <v>12</v>
      </c>
      <c r="G59" s="5" t="s">
        <v>12</v>
      </c>
      <c r="H59" s="5">
        <v>13</v>
      </c>
      <c r="I59" s="18">
        <f>3*48.528</f>
        <v>145.584</v>
      </c>
      <c r="J59" s="17">
        <f>3*46.143</f>
        <v>138.429</v>
      </c>
      <c r="K59" s="2"/>
    </row>
    <row r="60" spans="1:11" x14ac:dyDescent="0.2">
      <c r="A60" s="7" t="s">
        <v>30</v>
      </c>
      <c r="B60" s="26" t="s">
        <v>49</v>
      </c>
      <c r="C60" s="1" t="s">
        <v>9</v>
      </c>
      <c r="D60" s="5">
        <f>SUM(E60:H60)</f>
        <v>15</v>
      </c>
      <c r="E60" s="5" t="s">
        <v>12</v>
      </c>
      <c r="F60" s="5" t="s">
        <v>12</v>
      </c>
      <c r="G60" s="5" t="s">
        <v>12</v>
      </c>
      <c r="H60" s="5">
        <v>15</v>
      </c>
      <c r="I60" s="18">
        <f>3*53.556</f>
        <v>160.66800000000001</v>
      </c>
      <c r="J60" s="17">
        <f>3*51.679</f>
        <v>155.03700000000001</v>
      </c>
      <c r="K60" s="2"/>
    </row>
    <row r="61" spans="1:11" x14ac:dyDescent="0.2">
      <c r="A61" s="7" t="s">
        <v>31</v>
      </c>
      <c r="B61" s="26" t="s">
        <v>50</v>
      </c>
      <c r="C61" s="1" t="s">
        <v>9</v>
      </c>
      <c r="D61" s="5">
        <f>SUM(E61:H61)</f>
        <v>16</v>
      </c>
      <c r="E61" s="5" t="s">
        <v>12</v>
      </c>
      <c r="F61" s="5" t="s">
        <v>12</v>
      </c>
      <c r="G61" s="5" t="s">
        <v>12</v>
      </c>
      <c r="H61" s="5">
        <v>16</v>
      </c>
      <c r="I61" s="18">
        <f>3*50.2</f>
        <v>150.60000000000002</v>
      </c>
      <c r="J61" s="17">
        <f>3*46.667</f>
        <v>140.001</v>
      </c>
      <c r="K61" s="2"/>
    </row>
    <row r="62" spans="1:11" x14ac:dyDescent="0.2">
      <c r="A62" s="7" t="s">
        <v>32</v>
      </c>
      <c r="B62" s="26" t="s">
        <v>51</v>
      </c>
      <c r="C62" s="1" t="s">
        <v>9</v>
      </c>
      <c r="D62" s="5">
        <f>SUM(E62:H62)</f>
        <v>23</v>
      </c>
      <c r="E62" s="5">
        <v>10</v>
      </c>
      <c r="F62" s="5" t="s">
        <v>12</v>
      </c>
      <c r="G62" s="5" t="s">
        <v>12</v>
      </c>
      <c r="H62" s="5">
        <v>13</v>
      </c>
      <c r="I62" s="18">
        <f>3*52.467</f>
        <v>157.40100000000001</v>
      </c>
      <c r="J62" s="17">
        <f>3*55.568</f>
        <v>166.70400000000001</v>
      </c>
      <c r="K62" s="2"/>
    </row>
    <row r="63" spans="1:11" ht="25.5" x14ac:dyDescent="0.2">
      <c r="A63" s="7" t="s">
        <v>33</v>
      </c>
      <c r="B63" s="26" t="s">
        <v>53</v>
      </c>
      <c r="C63" s="1" t="s">
        <v>9</v>
      </c>
      <c r="D63" s="5">
        <f t="shared" si="0"/>
        <v>14</v>
      </c>
      <c r="E63" s="5">
        <v>10</v>
      </c>
      <c r="F63" s="5" t="s">
        <v>12</v>
      </c>
      <c r="G63" s="5" t="s">
        <v>12</v>
      </c>
      <c r="H63" s="5">
        <v>4</v>
      </c>
      <c r="I63" s="18">
        <f>3*54.5</f>
        <v>163.5</v>
      </c>
      <c r="J63" s="17">
        <f>3*50.744</f>
        <v>152.232</v>
      </c>
      <c r="K63" s="2"/>
    </row>
    <row r="64" spans="1:11" x14ac:dyDescent="0.2">
      <c r="A64" s="7" t="s">
        <v>14</v>
      </c>
      <c r="B64" s="26" t="s">
        <v>54</v>
      </c>
      <c r="C64" s="1" t="s">
        <v>9</v>
      </c>
      <c r="D64" s="5">
        <f t="shared" si="0"/>
        <v>26</v>
      </c>
      <c r="E64" s="5" t="s">
        <v>12</v>
      </c>
      <c r="F64" s="5" t="s">
        <v>12</v>
      </c>
      <c r="G64" s="5" t="s">
        <v>12</v>
      </c>
      <c r="H64" s="5">
        <v>26</v>
      </c>
      <c r="I64" s="18">
        <f>3*50.133</f>
        <v>150.399</v>
      </c>
      <c r="J64" s="17">
        <f>3*61.619</f>
        <v>184.857</v>
      </c>
      <c r="K64" s="2"/>
    </row>
    <row r="65" spans="1:11" x14ac:dyDescent="0.2">
      <c r="A65" s="7" t="s">
        <v>15</v>
      </c>
      <c r="B65" s="26" t="s">
        <v>55</v>
      </c>
      <c r="C65" s="1" t="s">
        <v>9</v>
      </c>
      <c r="D65" s="5">
        <f t="shared" si="0"/>
        <v>41</v>
      </c>
      <c r="E65" s="5" t="s">
        <v>12</v>
      </c>
      <c r="F65" s="5" t="s">
        <v>12</v>
      </c>
      <c r="G65" s="5" t="s">
        <v>12</v>
      </c>
      <c r="H65" s="5">
        <v>41</v>
      </c>
      <c r="I65" s="18">
        <f>3*53.026</f>
        <v>159.078</v>
      </c>
      <c r="J65" s="17">
        <f>3*59.924</f>
        <v>179.77199999999999</v>
      </c>
      <c r="K65" s="2"/>
    </row>
    <row r="66" spans="1:11" x14ac:dyDescent="0.2">
      <c r="A66" s="7" t="s">
        <v>16</v>
      </c>
      <c r="B66" s="26" t="s">
        <v>56</v>
      </c>
      <c r="C66" s="1" t="s">
        <v>9</v>
      </c>
      <c r="D66" s="5">
        <f t="shared" si="0"/>
        <v>85</v>
      </c>
      <c r="E66" s="5" t="s">
        <v>12</v>
      </c>
      <c r="F66" s="5" t="s">
        <v>12</v>
      </c>
      <c r="G66" s="5" t="s">
        <v>12</v>
      </c>
      <c r="H66" s="5">
        <v>85</v>
      </c>
      <c r="I66" s="18">
        <f>3*50.865</f>
        <v>152.595</v>
      </c>
      <c r="J66" s="17">
        <f>3*57.242</f>
        <v>171.726</v>
      </c>
      <c r="K66" s="2"/>
    </row>
    <row r="67" spans="1:11" x14ac:dyDescent="0.2">
      <c r="A67" s="7" t="s">
        <v>17</v>
      </c>
      <c r="B67" s="26" t="s">
        <v>57</v>
      </c>
      <c r="C67" s="1" t="s">
        <v>9</v>
      </c>
      <c r="D67" s="5">
        <f t="shared" si="0"/>
        <v>1</v>
      </c>
      <c r="E67" s="5" t="s">
        <v>12</v>
      </c>
      <c r="F67" s="5" t="s">
        <v>12</v>
      </c>
      <c r="G67" s="5" t="s">
        <v>12</v>
      </c>
      <c r="H67" s="5">
        <v>1</v>
      </c>
      <c r="I67" s="18">
        <f>3*65</f>
        <v>195</v>
      </c>
      <c r="J67" s="17"/>
      <c r="K67" s="2"/>
    </row>
    <row r="68" spans="1:11" x14ac:dyDescent="0.2">
      <c r="A68" s="7" t="s">
        <v>20</v>
      </c>
      <c r="B68" s="26" t="s">
        <v>60</v>
      </c>
      <c r="C68" s="1" t="s">
        <v>9</v>
      </c>
      <c r="D68" s="5">
        <f t="shared" si="0"/>
        <v>1</v>
      </c>
      <c r="E68" s="5" t="s">
        <v>12</v>
      </c>
      <c r="F68" s="5" t="s">
        <v>12</v>
      </c>
      <c r="G68" s="5" t="s">
        <v>12</v>
      </c>
      <c r="H68" s="5">
        <v>1</v>
      </c>
      <c r="I68" s="18" t="s">
        <v>12</v>
      </c>
      <c r="J68" s="17">
        <f>3*55.333</f>
        <v>165.999</v>
      </c>
      <c r="K68" s="2"/>
    </row>
    <row r="69" spans="1:11" x14ac:dyDescent="0.2">
      <c r="A69" s="33" t="s">
        <v>21</v>
      </c>
      <c r="B69" s="34"/>
      <c r="C69" s="1" t="s">
        <v>9</v>
      </c>
      <c r="D69" s="4">
        <f>SUM(D71:D74)</f>
        <v>644</v>
      </c>
      <c r="E69" s="4">
        <f t="shared" ref="E69:H69" si="4">SUM(E71:E74)</f>
        <v>125</v>
      </c>
      <c r="F69" s="4"/>
      <c r="G69" s="4"/>
      <c r="H69" s="4">
        <f t="shared" si="4"/>
        <v>519</v>
      </c>
      <c r="I69" s="18"/>
      <c r="J69" s="17"/>
      <c r="K69" s="2"/>
    </row>
    <row r="70" spans="1:11" x14ac:dyDescent="0.2">
      <c r="A70" s="28" t="s">
        <v>22</v>
      </c>
      <c r="B70" s="29"/>
      <c r="C70" s="1" t="s">
        <v>9</v>
      </c>
      <c r="D70" s="5"/>
      <c r="E70" s="6"/>
      <c r="F70" s="6"/>
      <c r="G70" s="6"/>
      <c r="H70" s="6"/>
      <c r="I70" s="18"/>
      <c r="J70" s="17"/>
      <c r="K70" s="2"/>
    </row>
    <row r="71" spans="1:11" x14ac:dyDescent="0.2">
      <c r="A71" s="7" t="s">
        <v>34</v>
      </c>
      <c r="B71" s="26" t="s">
        <v>61</v>
      </c>
      <c r="C71" s="1" t="s">
        <v>9</v>
      </c>
      <c r="D71" s="5">
        <f t="shared" ref="D71:D88" si="5">SUM(E71:H71)</f>
        <v>130</v>
      </c>
      <c r="E71" s="5">
        <v>45</v>
      </c>
      <c r="F71" s="5" t="s">
        <v>12</v>
      </c>
      <c r="G71" s="5" t="s">
        <v>12</v>
      </c>
      <c r="H71" s="5">
        <v>85</v>
      </c>
      <c r="I71" s="18">
        <f>3*40.381</f>
        <v>121.143</v>
      </c>
      <c r="J71" s="17">
        <f>3*53.807</f>
        <v>161.42099999999999</v>
      </c>
      <c r="K71" s="2"/>
    </row>
    <row r="72" spans="1:11" x14ac:dyDescent="0.2">
      <c r="A72" s="7" t="s">
        <v>35</v>
      </c>
      <c r="B72" s="26" t="s">
        <v>62</v>
      </c>
      <c r="C72" s="1" t="s">
        <v>9</v>
      </c>
      <c r="D72" s="5">
        <f t="shared" si="5"/>
        <v>272</v>
      </c>
      <c r="E72" s="5">
        <v>20</v>
      </c>
      <c r="F72" s="5" t="s">
        <v>12</v>
      </c>
      <c r="G72" s="5" t="s">
        <v>12</v>
      </c>
      <c r="H72" s="5">
        <v>252</v>
      </c>
      <c r="I72" s="18">
        <f>3*43.923</f>
        <v>131.76900000000001</v>
      </c>
      <c r="J72" s="17">
        <f>3*57.244</f>
        <v>171.732</v>
      </c>
      <c r="K72" s="2"/>
    </row>
    <row r="73" spans="1:11" ht="25.5" x14ac:dyDescent="0.2">
      <c r="A73" s="7" t="s">
        <v>36</v>
      </c>
      <c r="B73" s="26" t="s">
        <v>63</v>
      </c>
      <c r="C73" s="1" t="s">
        <v>9</v>
      </c>
      <c r="D73" s="5">
        <f t="shared" si="5"/>
        <v>117</v>
      </c>
      <c r="E73" s="5">
        <v>30</v>
      </c>
      <c r="F73" s="5" t="s">
        <v>12</v>
      </c>
      <c r="G73" s="5" t="s">
        <v>12</v>
      </c>
      <c r="H73" s="5">
        <v>87</v>
      </c>
      <c r="I73" s="18">
        <f>3*43.385</f>
        <v>130.155</v>
      </c>
      <c r="J73" s="17">
        <f>3*52.644</f>
        <v>157.93199999999999</v>
      </c>
      <c r="K73" s="2"/>
    </row>
    <row r="74" spans="1:11" ht="25.5" x14ac:dyDescent="0.2">
      <c r="A74" s="7" t="s">
        <v>37</v>
      </c>
      <c r="B74" s="26" t="s">
        <v>64</v>
      </c>
      <c r="C74" s="1" t="s">
        <v>9</v>
      </c>
      <c r="D74" s="5">
        <f t="shared" si="5"/>
        <v>125</v>
      </c>
      <c r="E74" s="5">
        <v>30</v>
      </c>
      <c r="F74" s="5" t="s">
        <v>12</v>
      </c>
      <c r="G74" s="5" t="s">
        <v>12</v>
      </c>
      <c r="H74" s="5">
        <v>95</v>
      </c>
      <c r="I74" s="18">
        <f>3*45.458</f>
        <v>136.374</v>
      </c>
      <c r="J74" s="17">
        <f>3*55.972</f>
        <v>167.916</v>
      </c>
      <c r="K74" s="2"/>
    </row>
    <row r="75" spans="1:11" x14ac:dyDescent="0.2">
      <c r="A75" s="33" t="s">
        <v>23</v>
      </c>
      <c r="B75" s="34"/>
      <c r="C75" s="1" t="s">
        <v>9</v>
      </c>
      <c r="D75" s="4">
        <f>SUM(D77:D84)</f>
        <v>90</v>
      </c>
      <c r="E75" s="4"/>
      <c r="F75" s="4"/>
      <c r="G75" s="4"/>
      <c r="H75" s="4">
        <f t="shared" ref="H75" si="6">SUM(H77:H84)</f>
        <v>90</v>
      </c>
      <c r="I75" s="18"/>
      <c r="J75" s="17"/>
      <c r="K75" s="2"/>
    </row>
    <row r="76" spans="1:11" x14ac:dyDescent="0.2">
      <c r="A76" s="28" t="s">
        <v>13</v>
      </c>
      <c r="B76" s="29"/>
      <c r="C76" s="1" t="s">
        <v>9</v>
      </c>
      <c r="D76" s="5"/>
      <c r="E76" s="5"/>
      <c r="F76" s="5"/>
      <c r="G76" s="5"/>
      <c r="H76" s="5"/>
      <c r="I76" s="18"/>
      <c r="J76" s="17"/>
      <c r="K76" s="2"/>
    </row>
    <row r="77" spans="1:11" ht="25.5" x14ac:dyDescent="0.2">
      <c r="A77" s="7" t="s">
        <v>39</v>
      </c>
      <c r="B77" s="27" t="s">
        <v>47</v>
      </c>
      <c r="C77" s="14" t="s">
        <v>9</v>
      </c>
      <c r="D77" s="5">
        <f t="shared" si="5"/>
        <v>3</v>
      </c>
      <c r="E77" s="5" t="s">
        <v>12</v>
      </c>
      <c r="F77" s="5" t="s">
        <v>12</v>
      </c>
      <c r="G77" s="5" t="s">
        <v>12</v>
      </c>
      <c r="H77" s="5">
        <v>3</v>
      </c>
      <c r="I77" s="18" t="s">
        <v>12</v>
      </c>
      <c r="J77" s="17">
        <v>85.332999999999998</v>
      </c>
      <c r="K77" s="2"/>
    </row>
    <row r="78" spans="1:11" x14ac:dyDescent="0.2">
      <c r="A78" s="7" t="s">
        <v>26</v>
      </c>
      <c r="B78" s="27" t="s">
        <v>56</v>
      </c>
      <c r="C78" s="14" t="s">
        <v>9</v>
      </c>
      <c r="D78" s="5">
        <f t="shared" si="5"/>
        <v>20</v>
      </c>
      <c r="E78" s="5" t="s">
        <v>12</v>
      </c>
      <c r="F78" s="5" t="s">
        <v>12</v>
      </c>
      <c r="G78" s="5" t="s">
        <v>12</v>
      </c>
      <c r="H78" s="5">
        <v>20</v>
      </c>
      <c r="I78" s="18" t="s">
        <v>12</v>
      </c>
      <c r="J78" s="17">
        <v>91.5</v>
      </c>
      <c r="K78" s="2"/>
    </row>
    <row r="79" spans="1:11" x14ac:dyDescent="0.2">
      <c r="A79" s="7" t="s">
        <v>25</v>
      </c>
      <c r="B79" s="27" t="s">
        <v>55</v>
      </c>
      <c r="C79" s="14" t="s">
        <v>9</v>
      </c>
      <c r="D79" s="5">
        <f t="shared" si="5"/>
        <v>26</v>
      </c>
      <c r="E79" s="5" t="s">
        <v>12</v>
      </c>
      <c r="F79" s="5" t="s">
        <v>12</v>
      </c>
      <c r="G79" s="5" t="s">
        <v>12</v>
      </c>
      <c r="H79" s="5">
        <v>26</v>
      </c>
      <c r="I79" s="18" t="s">
        <v>12</v>
      </c>
      <c r="J79" s="17">
        <v>85.653999999999996</v>
      </c>
      <c r="K79" s="2"/>
    </row>
    <row r="80" spans="1:11" x14ac:dyDescent="0.2">
      <c r="A80" s="7" t="s">
        <v>24</v>
      </c>
      <c r="B80" s="27" t="s">
        <v>54</v>
      </c>
      <c r="C80" s="14" t="s">
        <v>9</v>
      </c>
      <c r="D80" s="5">
        <f t="shared" si="5"/>
        <v>22</v>
      </c>
      <c r="E80" s="5" t="s">
        <v>12</v>
      </c>
      <c r="F80" s="5" t="s">
        <v>12</v>
      </c>
      <c r="G80" s="5" t="s">
        <v>12</v>
      </c>
      <c r="H80" s="5">
        <v>22</v>
      </c>
      <c r="I80" s="18" t="s">
        <v>12</v>
      </c>
      <c r="J80" s="17">
        <v>77.409000000000006</v>
      </c>
      <c r="K80" s="2"/>
    </row>
    <row r="81" spans="1:11" ht="25.5" x14ac:dyDescent="0.2">
      <c r="A81" s="7" t="s">
        <v>44</v>
      </c>
      <c r="B81" s="27" t="s">
        <v>52</v>
      </c>
      <c r="C81" s="14" t="s">
        <v>9</v>
      </c>
      <c r="D81" s="5">
        <f t="shared" si="5"/>
        <v>2</v>
      </c>
      <c r="E81" s="5" t="s">
        <v>12</v>
      </c>
      <c r="F81" s="5" t="s">
        <v>12</v>
      </c>
      <c r="G81" s="5" t="s">
        <v>12</v>
      </c>
      <c r="H81" s="5">
        <v>2</v>
      </c>
      <c r="I81" s="18" t="s">
        <v>12</v>
      </c>
      <c r="J81" s="17">
        <v>79</v>
      </c>
      <c r="K81" s="2"/>
    </row>
    <row r="82" spans="1:11" x14ac:dyDescent="0.2">
      <c r="A82" s="7" t="s">
        <v>43</v>
      </c>
      <c r="B82" s="27" t="s">
        <v>51</v>
      </c>
      <c r="C82" s="14" t="s">
        <v>9</v>
      </c>
      <c r="D82" s="5">
        <f t="shared" si="5"/>
        <v>7</v>
      </c>
      <c r="E82" s="5" t="s">
        <v>12</v>
      </c>
      <c r="F82" s="5" t="s">
        <v>12</v>
      </c>
      <c r="G82" s="5" t="s">
        <v>12</v>
      </c>
      <c r="H82" s="5">
        <v>7</v>
      </c>
      <c r="I82" s="18" t="s">
        <v>12</v>
      </c>
      <c r="J82" s="17">
        <v>44.143000000000001</v>
      </c>
      <c r="K82" s="2"/>
    </row>
    <row r="83" spans="1:11" x14ac:dyDescent="0.2">
      <c r="A83" s="7" t="s">
        <v>38</v>
      </c>
      <c r="B83" s="27" t="s">
        <v>46</v>
      </c>
      <c r="C83" s="14" t="s">
        <v>9</v>
      </c>
      <c r="D83" s="5">
        <f t="shared" si="5"/>
        <v>6</v>
      </c>
      <c r="E83" s="5" t="s">
        <v>12</v>
      </c>
      <c r="F83" s="5" t="s">
        <v>12</v>
      </c>
      <c r="G83" s="5" t="s">
        <v>12</v>
      </c>
      <c r="H83" s="5">
        <v>6</v>
      </c>
      <c r="I83" s="18" t="s">
        <v>12</v>
      </c>
      <c r="J83" s="17">
        <v>65.5</v>
      </c>
      <c r="K83" s="2"/>
    </row>
    <row r="84" spans="1:11" x14ac:dyDescent="0.2">
      <c r="A84" s="7" t="s">
        <v>67</v>
      </c>
      <c r="B84" s="26" t="s">
        <v>49</v>
      </c>
      <c r="C84" s="1" t="s">
        <v>9</v>
      </c>
      <c r="D84" s="5">
        <f t="shared" si="5"/>
        <v>4</v>
      </c>
      <c r="E84" s="5" t="s">
        <v>12</v>
      </c>
      <c r="F84" s="5" t="s">
        <v>12</v>
      </c>
      <c r="G84" s="5" t="s">
        <v>12</v>
      </c>
      <c r="H84" s="5">
        <v>4</v>
      </c>
      <c r="I84" s="18" t="s">
        <v>12</v>
      </c>
      <c r="J84" s="17">
        <v>41.25</v>
      </c>
      <c r="K84" s="2"/>
    </row>
    <row r="85" spans="1:11" ht="12.75" customHeight="1" x14ac:dyDescent="0.2">
      <c r="A85" s="33" t="s">
        <v>11</v>
      </c>
      <c r="B85" s="34"/>
      <c r="C85" s="1" t="s">
        <v>10</v>
      </c>
      <c r="D85" s="5"/>
      <c r="E85" s="5"/>
      <c r="F85" s="5"/>
      <c r="G85" s="5"/>
      <c r="H85" s="4"/>
      <c r="I85" s="18"/>
      <c r="J85" s="17"/>
      <c r="K85" s="2"/>
    </row>
    <row r="86" spans="1:11" ht="25.5" x14ac:dyDescent="0.2">
      <c r="A86" s="28" t="s">
        <v>13</v>
      </c>
      <c r="B86" s="29"/>
      <c r="C86" s="1" t="s">
        <v>10</v>
      </c>
      <c r="D86" s="4">
        <f>SUM(D87:D88)</f>
        <v>7</v>
      </c>
      <c r="E86" s="4"/>
      <c r="F86" s="4"/>
      <c r="G86" s="4"/>
      <c r="H86" s="4">
        <f t="shared" ref="H86" si="7">SUM(H87:H88)</f>
        <v>7</v>
      </c>
      <c r="I86" s="18"/>
      <c r="J86" s="17"/>
      <c r="K86" s="2"/>
    </row>
    <row r="87" spans="1:11" ht="25.5" x14ac:dyDescent="0.2">
      <c r="A87" s="7" t="s">
        <v>14</v>
      </c>
      <c r="B87" s="26" t="s">
        <v>54</v>
      </c>
      <c r="C87" s="1" t="s">
        <v>10</v>
      </c>
      <c r="D87" s="5">
        <f t="shared" si="5"/>
        <v>5</v>
      </c>
      <c r="E87" s="5" t="s">
        <v>12</v>
      </c>
      <c r="F87" s="5" t="s">
        <v>12</v>
      </c>
      <c r="G87" s="5" t="s">
        <v>12</v>
      </c>
      <c r="H87" s="5">
        <v>5</v>
      </c>
      <c r="I87" s="18">
        <f>3*57.583</f>
        <v>172.749</v>
      </c>
      <c r="J87" s="17">
        <f>3*62</f>
        <v>186</v>
      </c>
      <c r="K87" s="2"/>
    </row>
    <row r="88" spans="1:11" x14ac:dyDescent="0.2">
      <c r="A88" s="7" t="s">
        <v>15</v>
      </c>
      <c r="B88" s="26" t="s">
        <v>55</v>
      </c>
      <c r="C88" s="1" t="s">
        <v>9</v>
      </c>
      <c r="D88" s="5">
        <f t="shared" si="5"/>
        <v>2</v>
      </c>
      <c r="E88" s="5" t="s">
        <v>12</v>
      </c>
      <c r="F88" s="5" t="s">
        <v>12</v>
      </c>
      <c r="G88" s="5" t="s">
        <v>12</v>
      </c>
      <c r="H88" s="5">
        <v>2</v>
      </c>
      <c r="I88" s="18">
        <f>3*57.333</f>
        <v>171.999</v>
      </c>
      <c r="J88" s="17">
        <f>3*58.667</f>
        <v>176.001</v>
      </c>
      <c r="K88" s="2"/>
    </row>
    <row r="89" spans="1:11" x14ac:dyDescent="0.2">
      <c r="A89" s="33" t="s">
        <v>94</v>
      </c>
      <c r="B89" s="34"/>
      <c r="C89" s="23"/>
      <c r="D89" s="4">
        <f>SUM(D90,D101,D107)</f>
        <v>2339</v>
      </c>
      <c r="E89" s="4">
        <f t="shared" ref="E89:H89" si="8">SUM(E90,E101,E107)</f>
        <v>945</v>
      </c>
      <c r="F89" s="4"/>
      <c r="G89" s="4"/>
      <c r="H89" s="4">
        <f t="shared" si="8"/>
        <v>1394</v>
      </c>
      <c r="I89" s="18"/>
      <c r="J89" s="17"/>
    </row>
    <row r="90" spans="1:11" x14ac:dyDescent="0.2">
      <c r="A90" s="28" t="s">
        <v>13</v>
      </c>
      <c r="B90" s="29"/>
      <c r="C90" s="43" t="s">
        <v>8</v>
      </c>
      <c r="D90" s="4">
        <f>SUM(D91:D100)</f>
        <v>1932</v>
      </c>
      <c r="E90" s="4">
        <f>SUM(E91:E100)</f>
        <v>830</v>
      </c>
      <c r="F90" s="4"/>
      <c r="G90" s="4"/>
      <c r="H90" s="4">
        <f t="shared" ref="H90" si="9">SUM(H91:H100)</f>
        <v>1102</v>
      </c>
      <c r="I90" s="18"/>
      <c r="J90" s="17"/>
    </row>
    <row r="91" spans="1:11" ht="38.25" x14ac:dyDescent="0.2">
      <c r="A91" s="7" t="s">
        <v>96</v>
      </c>
      <c r="B91" s="26" t="s">
        <v>95</v>
      </c>
      <c r="C91" s="23" t="s">
        <v>8</v>
      </c>
      <c r="D91" s="5">
        <f>SUM(E91:H91)</f>
        <v>201</v>
      </c>
      <c r="E91" s="5">
        <v>110</v>
      </c>
      <c r="F91" s="5" t="s">
        <v>12</v>
      </c>
      <c r="G91" s="5" t="s">
        <v>12</v>
      </c>
      <c r="H91" s="5">
        <v>91</v>
      </c>
      <c r="I91" s="18" t="s">
        <v>12</v>
      </c>
      <c r="J91" s="17" t="s">
        <v>12</v>
      </c>
    </row>
    <row r="92" spans="1:11" x14ac:dyDescent="0.2">
      <c r="A92" s="7" t="s">
        <v>98</v>
      </c>
      <c r="B92" s="26" t="s">
        <v>97</v>
      </c>
      <c r="C92" s="23" t="s">
        <v>8</v>
      </c>
      <c r="D92" s="5">
        <f>SUM(E92:H92)</f>
        <v>22</v>
      </c>
      <c r="E92" s="5" t="s">
        <v>12</v>
      </c>
      <c r="F92" s="5" t="s">
        <v>12</v>
      </c>
      <c r="G92" s="5" t="s">
        <v>12</v>
      </c>
      <c r="H92" s="5">
        <v>22</v>
      </c>
      <c r="I92" s="18" t="s">
        <v>12</v>
      </c>
      <c r="J92" s="17" t="s">
        <v>12</v>
      </c>
    </row>
    <row r="93" spans="1:11" x14ac:dyDescent="0.2">
      <c r="A93" s="7" t="s">
        <v>99</v>
      </c>
      <c r="B93" s="26" t="s">
        <v>100</v>
      </c>
      <c r="C93" s="23" t="s">
        <v>8</v>
      </c>
      <c r="D93" s="5">
        <f t="shared" ref="D93:D100" si="10">SUM(E93:H93)</f>
        <v>87</v>
      </c>
      <c r="E93" s="5">
        <v>60</v>
      </c>
      <c r="F93" s="5" t="s">
        <v>12</v>
      </c>
      <c r="G93" s="5" t="s">
        <v>12</v>
      </c>
      <c r="H93" s="5">
        <v>27</v>
      </c>
      <c r="I93" s="18" t="s">
        <v>12</v>
      </c>
      <c r="J93" s="17" t="s">
        <v>12</v>
      </c>
    </row>
    <row r="94" spans="1:11" ht="25.5" x14ac:dyDescent="0.2">
      <c r="A94" s="7" t="s">
        <v>101</v>
      </c>
      <c r="B94" s="26" t="s">
        <v>102</v>
      </c>
      <c r="C94" s="23" t="s">
        <v>8</v>
      </c>
      <c r="D94" s="5">
        <f t="shared" si="10"/>
        <v>507</v>
      </c>
      <c r="E94" s="5">
        <v>150</v>
      </c>
      <c r="F94" s="5" t="s">
        <v>12</v>
      </c>
      <c r="G94" s="5" t="s">
        <v>12</v>
      </c>
      <c r="H94" s="5">
        <v>357</v>
      </c>
      <c r="I94" s="18" t="s">
        <v>12</v>
      </c>
      <c r="J94" s="17" t="s">
        <v>12</v>
      </c>
    </row>
    <row r="95" spans="1:11" x14ac:dyDescent="0.2">
      <c r="A95" s="7" t="s">
        <v>103</v>
      </c>
      <c r="B95" s="26" t="s">
        <v>104</v>
      </c>
      <c r="C95" s="23" t="s">
        <v>8</v>
      </c>
      <c r="D95" s="5">
        <f t="shared" si="10"/>
        <v>127</v>
      </c>
      <c r="E95" s="5">
        <v>60</v>
      </c>
      <c r="F95" s="5" t="s">
        <v>12</v>
      </c>
      <c r="G95" s="5" t="s">
        <v>12</v>
      </c>
      <c r="H95" s="5">
        <v>67</v>
      </c>
      <c r="I95" s="18" t="s">
        <v>12</v>
      </c>
      <c r="J95" s="17" t="s">
        <v>12</v>
      </c>
    </row>
    <row r="96" spans="1:11" ht="25.5" x14ac:dyDescent="0.2">
      <c r="A96" s="7" t="s">
        <v>105</v>
      </c>
      <c r="B96" s="26" t="s">
        <v>106</v>
      </c>
      <c r="C96" s="23" t="s">
        <v>8</v>
      </c>
      <c r="D96" s="5">
        <f t="shared" si="10"/>
        <v>209</v>
      </c>
      <c r="E96" s="5">
        <v>125</v>
      </c>
      <c r="F96" s="5" t="s">
        <v>12</v>
      </c>
      <c r="G96" s="5" t="s">
        <v>12</v>
      </c>
      <c r="H96" s="5">
        <v>84</v>
      </c>
      <c r="I96" s="18" t="s">
        <v>12</v>
      </c>
      <c r="J96" s="17" t="s">
        <v>12</v>
      </c>
    </row>
    <row r="97" spans="1:11" ht="25.5" x14ac:dyDescent="0.2">
      <c r="A97" s="7" t="s">
        <v>107</v>
      </c>
      <c r="B97" s="26" t="s">
        <v>108</v>
      </c>
      <c r="C97" s="23" t="s">
        <v>8</v>
      </c>
      <c r="D97" s="5">
        <f t="shared" si="10"/>
        <v>504</v>
      </c>
      <c r="E97" s="5">
        <v>225</v>
      </c>
      <c r="F97" s="5" t="s">
        <v>12</v>
      </c>
      <c r="G97" s="5" t="s">
        <v>12</v>
      </c>
      <c r="H97" s="5">
        <v>279</v>
      </c>
      <c r="I97" s="18" t="s">
        <v>12</v>
      </c>
      <c r="J97" s="17" t="s">
        <v>12</v>
      </c>
    </row>
    <row r="98" spans="1:11" ht="38.25" x14ac:dyDescent="0.2">
      <c r="A98" s="7" t="s">
        <v>109</v>
      </c>
      <c r="B98" s="26" t="s">
        <v>110</v>
      </c>
      <c r="C98" s="23" t="s">
        <v>8</v>
      </c>
      <c r="D98" s="5">
        <f t="shared" si="10"/>
        <v>48</v>
      </c>
      <c r="E98" s="5">
        <v>25</v>
      </c>
      <c r="F98" s="5" t="s">
        <v>12</v>
      </c>
      <c r="G98" s="5" t="s">
        <v>12</v>
      </c>
      <c r="H98" s="5">
        <v>23</v>
      </c>
      <c r="I98" s="18" t="s">
        <v>12</v>
      </c>
      <c r="J98" s="17" t="s">
        <v>12</v>
      </c>
    </row>
    <row r="99" spans="1:11" ht="25.5" x14ac:dyDescent="0.2">
      <c r="A99" s="7" t="s">
        <v>111</v>
      </c>
      <c r="B99" s="26" t="s">
        <v>112</v>
      </c>
      <c r="C99" s="23" t="s">
        <v>8</v>
      </c>
      <c r="D99" s="5">
        <f t="shared" si="10"/>
        <v>50</v>
      </c>
      <c r="E99" s="5" t="s">
        <v>12</v>
      </c>
      <c r="F99" s="5" t="s">
        <v>12</v>
      </c>
      <c r="G99" s="5" t="s">
        <v>12</v>
      </c>
      <c r="H99" s="5">
        <v>50</v>
      </c>
      <c r="I99" s="18" t="s">
        <v>12</v>
      </c>
      <c r="J99" s="17" t="s">
        <v>12</v>
      </c>
    </row>
    <row r="100" spans="1:11" x14ac:dyDescent="0.2">
      <c r="A100" s="7" t="s">
        <v>113</v>
      </c>
      <c r="B100" s="26" t="s">
        <v>114</v>
      </c>
      <c r="C100" s="23" t="s">
        <v>8</v>
      </c>
      <c r="D100" s="5">
        <f t="shared" si="10"/>
        <v>177</v>
      </c>
      <c r="E100" s="5">
        <v>75</v>
      </c>
      <c r="F100" s="5" t="s">
        <v>12</v>
      </c>
      <c r="G100" s="5" t="s">
        <v>12</v>
      </c>
      <c r="H100" s="5">
        <v>102</v>
      </c>
      <c r="I100" s="18" t="s">
        <v>12</v>
      </c>
      <c r="J100" s="17" t="s">
        <v>12</v>
      </c>
    </row>
    <row r="101" spans="1:11" x14ac:dyDescent="0.2">
      <c r="A101" s="28"/>
      <c r="B101" s="29"/>
      <c r="C101" s="43" t="s">
        <v>9</v>
      </c>
      <c r="D101" s="4">
        <f>SUM(D102:D106)</f>
        <v>342</v>
      </c>
      <c r="E101" s="4">
        <f t="shared" ref="E101:H101" si="11">SUM(E102:E106)</f>
        <v>115</v>
      </c>
      <c r="F101" s="4"/>
      <c r="G101" s="4"/>
      <c r="H101" s="4">
        <f t="shared" si="11"/>
        <v>227</v>
      </c>
      <c r="I101" s="4"/>
      <c r="J101" s="4"/>
      <c r="K101" s="22"/>
    </row>
    <row r="102" spans="1:11" ht="25.5" x14ac:dyDescent="0.2">
      <c r="A102" s="7" t="s">
        <v>101</v>
      </c>
      <c r="B102" s="26" t="s">
        <v>102</v>
      </c>
      <c r="C102" s="23" t="s">
        <v>9</v>
      </c>
      <c r="D102" s="5">
        <f t="shared" ref="D102:D106" si="12">SUM(E102:H102)</f>
        <v>129</v>
      </c>
      <c r="E102" s="5">
        <v>25</v>
      </c>
      <c r="F102" s="5" t="s">
        <v>12</v>
      </c>
      <c r="G102" s="5" t="s">
        <v>12</v>
      </c>
      <c r="H102" s="5">
        <v>104</v>
      </c>
      <c r="I102" s="18" t="s">
        <v>12</v>
      </c>
      <c r="J102" s="17" t="s">
        <v>12</v>
      </c>
    </row>
    <row r="103" spans="1:11" ht="25.5" x14ac:dyDescent="0.2">
      <c r="A103" s="7" t="s">
        <v>105</v>
      </c>
      <c r="B103" s="26" t="s">
        <v>106</v>
      </c>
      <c r="C103" s="23" t="s">
        <v>9</v>
      </c>
      <c r="D103" s="5">
        <f t="shared" si="12"/>
        <v>74</v>
      </c>
      <c r="E103" s="5">
        <v>25</v>
      </c>
      <c r="F103" s="5" t="s">
        <v>12</v>
      </c>
      <c r="G103" s="5" t="s">
        <v>12</v>
      </c>
      <c r="H103" s="5">
        <v>49</v>
      </c>
      <c r="I103" s="18" t="s">
        <v>12</v>
      </c>
      <c r="J103" s="17" t="s">
        <v>12</v>
      </c>
    </row>
    <row r="104" spans="1:11" ht="25.5" x14ac:dyDescent="0.2">
      <c r="A104" s="7" t="s">
        <v>107</v>
      </c>
      <c r="B104" s="26" t="s">
        <v>108</v>
      </c>
      <c r="C104" s="23" t="s">
        <v>9</v>
      </c>
      <c r="D104" s="5">
        <f t="shared" si="12"/>
        <v>79</v>
      </c>
      <c r="E104" s="5">
        <v>40</v>
      </c>
      <c r="F104" s="5" t="s">
        <v>12</v>
      </c>
      <c r="G104" s="5" t="s">
        <v>12</v>
      </c>
      <c r="H104" s="5">
        <v>39</v>
      </c>
      <c r="I104" s="18" t="s">
        <v>12</v>
      </c>
      <c r="J104" s="17" t="s">
        <v>12</v>
      </c>
    </row>
    <row r="105" spans="1:11" ht="25.5" x14ac:dyDescent="0.2">
      <c r="A105" s="7" t="s">
        <v>111</v>
      </c>
      <c r="B105" s="26" t="s">
        <v>112</v>
      </c>
      <c r="C105" s="23" t="s">
        <v>9</v>
      </c>
      <c r="D105" s="5">
        <f t="shared" si="12"/>
        <v>7</v>
      </c>
      <c r="E105" s="5" t="s">
        <v>12</v>
      </c>
      <c r="F105" s="5" t="s">
        <v>12</v>
      </c>
      <c r="G105" s="5" t="s">
        <v>12</v>
      </c>
      <c r="H105" s="5">
        <v>7</v>
      </c>
      <c r="I105" s="18" t="s">
        <v>12</v>
      </c>
      <c r="J105" s="17" t="s">
        <v>12</v>
      </c>
    </row>
    <row r="106" spans="1:11" x14ac:dyDescent="0.2">
      <c r="A106" s="7" t="s">
        <v>113</v>
      </c>
      <c r="B106" s="26" t="s">
        <v>114</v>
      </c>
      <c r="C106" s="23" t="s">
        <v>9</v>
      </c>
      <c r="D106" s="5">
        <f t="shared" si="12"/>
        <v>53</v>
      </c>
      <c r="E106" s="5">
        <v>25</v>
      </c>
      <c r="F106" s="5" t="s">
        <v>12</v>
      </c>
      <c r="G106" s="5" t="s">
        <v>12</v>
      </c>
      <c r="H106" s="5">
        <v>28</v>
      </c>
      <c r="I106" s="18" t="s">
        <v>12</v>
      </c>
      <c r="J106" s="17" t="s">
        <v>12</v>
      </c>
    </row>
    <row r="107" spans="1:11" ht="25.5" x14ac:dyDescent="0.2">
      <c r="A107" s="28"/>
      <c r="B107" s="29"/>
      <c r="C107" s="43" t="s">
        <v>115</v>
      </c>
      <c r="D107" s="4">
        <f>SUM(D108)</f>
        <v>65</v>
      </c>
      <c r="E107" s="4"/>
      <c r="F107" s="4"/>
      <c r="G107" s="4"/>
      <c r="H107" s="4">
        <f t="shared" ref="E107:H107" si="13">SUM(H108)</f>
        <v>65</v>
      </c>
      <c r="I107" s="4"/>
      <c r="J107" s="4"/>
    </row>
    <row r="108" spans="1:11" x14ac:dyDescent="0.2">
      <c r="A108" s="7" t="s">
        <v>103</v>
      </c>
      <c r="B108" s="26" t="s">
        <v>104</v>
      </c>
      <c r="C108" s="23" t="s">
        <v>8</v>
      </c>
      <c r="D108" s="5">
        <f t="shared" ref="D108" si="14">SUM(E108:H108)</f>
        <v>65</v>
      </c>
      <c r="E108" s="5" t="s">
        <v>12</v>
      </c>
      <c r="F108" s="5" t="s">
        <v>12</v>
      </c>
      <c r="G108" s="5" t="s">
        <v>12</v>
      </c>
      <c r="H108" s="5">
        <v>65</v>
      </c>
      <c r="I108" s="18" t="s">
        <v>12</v>
      </c>
      <c r="J108" s="17" t="s">
        <v>12</v>
      </c>
      <c r="K108" s="22"/>
    </row>
  </sheetData>
  <mergeCells count="28">
    <mergeCell ref="A89:B89"/>
    <mergeCell ref="A90:B90"/>
    <mergeCell ref="A101:B101"/>
    <mergeCell ref="A107:B107"/>
    <mergeCell ref="A76:B76"/>
    <mergeCell ref="A85:B85"/>
    <mergeCell ref="A86:B86"/>
    <mergeCell ref="I4:J5"/>
    <mergeCell ref="A7:B7"/>
    <mergeCell ref="A8:B8"/>
    <mergeCell ref="A30:B30"/>
    <mergeCell ref="A31:B31"/>
    <mergeCell ref="A56:B56"/>
    <mergeCell ref="A24:B24"/>
    <mergeCell ref="A44:B44"/>
    <mergeCell ref="A45:B45"/>
    <mergeCell ref="A57:B57"/>
    <mergeCell ref="A69:B69"/>
    <mergeCell ref="A70:B70"/>
    <mergeCell ref="A75:B75"/>
    <mergeCell ref="A25:B25"/>
    <mergeCell ref="A1:H1"/>
    <mergeCell ref="A4:A5"/>
    <mergeCell ref="B4:B5"/>
    <mergeCell ref="C4:C5"/>
    <mergeCell ref="A2:I2"/>
    <mergeCell ref="E4:H4"/>
    <mergeCell ref="D4:D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УРГУПС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snikulina</dc:creator>
  <cp:lastModifiedBy>Мальцева Ирина Алексеевна</cp:lastModifiedBy>
  <cp:lastPrinted>2015-11-19T10:03:26Z</cp:lastPrinted>
  <dcterms:created xsi:type="dcterms:W3CDTF">2015-11-11T09:15:34Z</dcterms:created>
  <dcterms:modified xsi:type="dcterms:W3CDTF">2017-02-02T08:25:24Z</dcterms:modified>
</cp:coreProperties>
</file>